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070" firstSheet="6" activeTab="10"/>
  </bookViews>
  <sheets>
    <sheet name="Штатное расписание" sheetId="1" r:id="rId1"/>
    <sheet name="График транспортирования" sheetId="2" r:id="rId2"/>
    <sheet name="Электроэнергия на т.н." sheetId="3" r:id="rId3"/>
    <sheet name="Командировочные" sheetId="4" r:id="rId4"/>
    <sheet name="Покупка СУГ" sheetId="5" r:id="rId5"/>
    <sheet name="ГСМ на Газовозы" sheetId="6" r:id="rId6"/>
    <sheet name="Износ шин" sheetId="7" r:id="rId7"/>
    <sheet name="&quot;Платон&quot;" sheetId="8" r:id="rId8"/>
    <sheet name="Расчёт амортизации ОС" sheetId="9" r:id="rId9"/>
    <sheet name="Расчёт налога на имущество" sheetId="10" r:id="rId10"/>
    <sheet name="Финансовый план" sheetId="11" r:id="rId11"/>
  </sheets>
  <definedNames>
    <definedName name="Аудитор_услуги">#REF!</definedName>
    <definedName name="Банк_срок">#REF!</definedName>
    <definedName name="Банк_срок_в_годах">#REF!</definedName>
    <definedName name="Банк_ставка">#REF!</definedName>
    <definedName name="Банк_сумма">#REF!</definedName>
    <definedName name="Вознаграждение_УК_за_управление_ГОД">#REF!</definedName>
    <definedName name="Вознаграждение_УК_за_успех_ГОД">#REF!</definedName>
    <definedName name="Депозитарий_ГОД">#REF!</definedName>
    <definedName name="Депозитарий_ГОД_минимально">#REF!</definedName>
    <definedName name="_xlnm.Print_Titles" localSheetId="10">'Финансовый план'!$B:$B</definedName>
    <definedName name="ИЗ_без_КС_ИТОГО">#REF!</definedName>
    <definedName name="Износ">#REF!</definedName>
    <definedName name="Инвестор_доп_залог">#REF!</definedName>
    <definedName name="Инвестор_ПСД">#REF!</definedName>
    <definedName name="Инвестор_срок">#REF!</definedName>
    <definedName name="Инвестор_срок_в_годах">#REF!</definedName>
    <definedName name="Инвестор_ставка">#REF!</definedName>
    <definedName name="Инвестор_сумма">#REF!</definedName>
    <definedName name="Инициатор">#REF!</definedName>
    <definedName name="Инициатор_ПСД">#REF!</definedName>
    <definedName name="Инициатор_сумма">#REF!</definedName>
    <definedName name="Название_проекта">#REF!</definedName>
    <definedName name="Недвижимость_ИТОГО">#REF!</definedName>
    <definedName name="Норматив_прочих_VC">#REF!</definedName>
    <definedName name="_xlnm.Print_Area" localSheetId="10">'Финансовый план'!#REF!</definedName>
    <definedName name="Оборотные_ИТОГО">#REF!</definedName>
    <definedName name="Оборудование_ИТОГО">#REF!</definedName>
    <definedName name="Оценщик_услуги">#REF!</definedName>
    <definedName name="Первоначальная_цена_1_пая">#REF!</definedName>
    <definedName name="Прирост_цены_для_Банка">#REF!</definedName>
    <definedName name="Прирост_цены_для_Фонда">#REF!</definedName>
    <definedName name="Продукт1">#REF!</definedName>
    <definedName name="Продукт1_Объём_продаж_год">#REF!</definedName>
    <definedName name="Продукт1_Объём_производства_год">#REF!</definedName>
    <definedName name="Продукт1_Себестоимость">#REF!</definedName>
    <definedName name="Продукт1_Цена_за_единицу">#REF!</definedName>
    <definedName name="Продукт10">#REF!</definedName>
    <definedName name="Продукт10_Объём_продаж_год">#REF!</definedName>
    <definedName name="Продукт10_Объём_производства_год">#REF!</definedName>
    <definedName name="Продукт10_Себестоимость">#REF!</definedName>
    <definedName name="Продукт10_Цена_за_единицу">#REF!</definedName>
    <definedName name="Продукт11">#REF!</definedName>
    <definedName name="Продукт11_Объём_продаж_год">#REF!</definedName>
    <definedName name="Продукт11_Объём_производства_год">#REF!</definedName>
    <definedName name="Продукт11_Себестоимость">#REF!</definedName>
    <definedName name="Продукт11_Цена_за_единицу">#REF!</definedName>
    <definedName name="Продукт12">#REF!</definedName>
    <definedName name="Продукт12_Объём_продаж_год">#REF!</definedName>
    <definedName name="Продукт12_Объём_производства_год">#REF!</definedName>
    <definedName name="Продукт12_Себестоимость">#REF!</definedName>
    <definedName name="Продукт12_Цена_за_единицу">#REF!</definedName>
    <definedName name="Продукт13">#REF!</definedName>
    <definedName name="Продукт13_Объём_продаж_год">#REF!</definedName>
    <definedName name="Продукт13_Объём_производства_год">#REF!</definedName>
    <definedName name="Продукт13_Себестоимость">#REF!</definedName>
    <definedName name="Продукт13_Цена_за_единицу">#REF!</definedName>
    <definedName name="Продукт14">#REF!</definedName>
    <definedName name="Продукт14_Объём_продаж_год">#REF!</definedName>
    <definedName name="Продукт14_Объём_производства_год">#REF!</definedName>
    <definedName name="Продукт14_Себестоимость">#REF!</definedName>
    <definedName name="Продукт14_Цена_за_единицу">#REF!</definedName>
    <definedName name="Продукт15">#REF!</definedName>
    <definedName name="Продукт15_Объём_продаж_год">#REF!</definedName>
    <definedName name="Продукт15_Объём_производства_год">#REF!</definedName>
    <definedName name="Продукт15_Себестоимость">#REF!</definedName>
    <definedName name="Продукт15_Цена_за_единицу">#REF!</definedName>
    <definedName name="Продукт2">#REF!</definedName>
    <definedName name="Продукт2_Объём_продаж_год">#REF!</definedName>
    <definedName name="Продукт2_Объём_производства_год">#REF!</definedName>
    <definedName name="Продукт2_Себестоимость">#REF!</definedName>
    <definedName name="Продукт2_Цена_за_единицу">#REF!</definedName>
    <definedName name="Продукт3">#REF!</definedName>
    <definedName name="Продукт3_Объём_продаж_год">#REF!</definedName>
    <definedName name="Продукт3_Объём_производства_год">#REF!</definedName>
    <definedName name="Продукт3_Себестоимость">#REF!</definedName>
    <definedName name="Продукт3_Цена_за_единицу">#REF!</definedName>
    <definedName name="Продукт4">#REF!</definedName>
    <definedName name="Продукт4_Объём_продаж_год">#REF!</definedName>
    <definedName name="Продукт4_Объём_производства_год">#REF!</definedName>
    <definedName name="Продукт4_Себестоимость">#REF!</definedName>
    <definedName name="Продукт4_Цена_за_единицу">#REF!</definedName>
    <definedName name="Продукт5">#REF!</definedName>
    <definedName name="Продукт5_Объём_продаж_год">#REF!</definedName>
    <definedName name="Продукт5_Объём_производства_год">#REF!</definedName>
    <definedName name="Продукт5_Себестоимость">#REF!</definedName>
    <definedName name="Продукт5_Цена_за_единицу">#REF!</definedName>
    <definedName name="Продукт6">#REF!</definedName>
    <definedName name="Продукт6_Объём_продаж_год">#REF!</definedName>
    <definedName name="Продукт6_Объём_производства_год">#REF!</definedName>
    <definedName name="Продукт6_Себестоимость">#REF!</definedName>
    <definedName name="Продукт6_Цена_за_единицу">#REF!</definedName>
    <definedName name="Продукт7">#REF!</definedName>
    <definedName name="Продукт7_Объём_продаж_год">#REF!</definedName>
    <definedName name="Продукт7_Объём_производства_год">#REF!</definedName>
    <definedName name="Продукт7_Себестоимость">#REF!</definedName>
    <definedName name="Продукт7_Цена_за_единицу">#REF!</definedName>
    <definedName name="Продукт8">#REF!</definedName>
    <definedName name="Продукт8_Объём_продаж_год">#REF!</definedName>
    <definedName name="Продукт8_Объём_производства_год">#REF!</definedName>
    <definedName name="Продукт8_Себестоимость">#REF!</definedName>
    <definedName name="Продукт8_Цена_за_единицу">#REF!</definedName>
    <definedName name="Продукт9">#REF!</definedName>
    <definedName name="Продукт9_Объём_продаж_год">#REF!</definedName>
    <definedName name="Продукт9_Объём_производства_год">#REF!</definedName>
    <definedName name="Продукт9_Себестоимость">#REF!</definedName>
    <definedName name="Продукт9_Цена_за_единицу">#REF!</definedName>
    <definedName name="Прочие_осн._фонды_ИТОГО">#REF!</definedName>
    <definedName name="Регион_реализации">#REF!</definedName>
    <definedName name="Регистратор_ГОД">#REF!</definedName>
    <definedName name="Регистратор_ГОД_минимально">#REF!</definedName>
    <definedName name="СМР_и_материалы_ИТОГО">#REF!</definedName>
    <definedName name="Ставка_Внеб_фонды">#REF!</definedName>
    <definedName name="Ставка_дисконтирования_общая">#REF!</definedName>
    <definedName name="Ставка_налога_на_прибыль">#REF!</definedName>
    <definedName name="Ставка_НДС_вход_ЗПИФ">#REF!</definedName>
    <definedName name="Ставка_НДС_вход_Опер_компания">#REF!</definedName>
    <definedName name="Ставка_НДС_исход_ЗПИФ">#REF!</definedName>
    <definedName name="Ставка_НДС_исход_Опер_компания">#REF!</definedName>
    <definedName name="Ставка_по_займу_от_ЗПИФ">#REF!</definedName>
    <definedName name="Ставка_по_кредиту">#REF!</definedName>
    <definedName name="Страхование_ИТОГО">#REF!</definedName>
    <definedName name="Транспорт_ИТОГО">#REF!</definedName>
  </definedNames>
  <calcPr fullCalcOnLoad="1"/>
</workbook>
</file>

<file path=xl/sharedStrings.xml><?xml version="1.0" encoding="utf-8"?>
<sst xmlns="http://schemas.openxmlformats.org/spreadsheetml/2006/main" count="2125" uniqueCount="525">
  <si>
    <t>№ п/п</t>
  </si>
  <si>
    <t>Наименование должности</t>
  </si>
  <si>
    <t>Руководитель</t>
  </si>
  <si>
    <t>Инженер</t>
  </si>
  <si>
    <t>Бухгалтер</t>
  </si>
  <si>
    <t>Юристконсульт</t>
  </si>
  <si>
    <t>Старший водитель</t>
  </si>
  <si>
    <t>Водитель</t>
  </si>
  <si>
    <t>Слесарь по эксплуатации и ремонту газового оборудования</t>
  </si>
  <si>
    <t>ИТОГО:</t>
  </si>
  <si>
    <t>Тарифный разряд</t>
  </si>
  <si>
    <t>Районный коэффициент, (4+5)х70%, руб.</t>
  </si>
  <si>
    <t>Итого месячное начисление, 4+5+6, руб.</t>
  </si>
  <si>
    <t>Годовой ФОТ, 7х12 мес., руб.</t>
  </si>
  <si>
    <t>Количество штатных единиц</t>
  </si>
  <si>
    <t>Месячный ФОТ с учётом количества штатных единиц, 7х9, руб.</t>
  </si>
  <si>
    <t>Оплата по тарифу, руб.</t>
  </si>
  <si>
    <t>Стимулирующая часть, 4х100%, руб.</t>
  </si>
  <si>
    <t>Годовой ФОТ с учётом количества штатных единиц, 8х9, руб.</t>
  </si>
  <si>
    <t>Взносы на обязательное пенсионное страхование</t>
  </si>
  <si>
    <t>Выплаты на обязательное социальное страхование</t>
  </si>
  <si>
    <t>на травматизм 0,2% с ФОТ (8) (по водителям 0,4%), руб.</t>
  </si>
  <si>
    <t>Взносы на обязательное медицинское страхование 5,1% с ФОТ (8), руб.</t>
  </si>
  <si>
    <t>Итого начисления на ФОТ, 12+13+14+15+16, руб.</t>
  </si>
  <si>
    <t>Начисления на ФОТ с учётом количества штатных единиц, 17х9, руб.</t>
  </si>
  <si>
    <t>Начисления на заработную плату руководителя, помесячно, нарастающим итогом</t>
  </si>
  <si>
    <t>месяца</t>
  </si>
  <si>
    <t>Заработная плата нарастающим итогом</t>
  </si>
  <si>
    <t>Итого начисления на ФОТ за месяц, руб.</t>
  </si>
  <si>
    <t>Начисления на ФОТ нарастающим итогом, руб.</t>
  </si>
  <si>
    <t>Начисления на заработную плату специалиста, помесячно, нарастающим итогом</t>
  </si>
  <si>
    <t>Начисления на заработную плату слесаря по эксплуатации и ремонту газового оборудования (5 т.р.), помесячно, нарастающим итогом</t>
  </si>
  <si>
    <t>Начисления на заработную плату слесаря по эксплуатации и ремонту газового оборудования (3 т.р.), помесячно, нарастающим итогом</t>
  </si>
  <si>
    <t>Начисления на ФОТ (общее)</t>
  </si>
  <si>
    <t>Расчёт потребления СУГ по этапам помесячно</t>
  </si>
  <si>
    <t>расход СУГ, кг</t>
  </si>
  <si>
    <t>расход тепла, Гккал</t>
  </si>
  <si>
    <t>I этап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</si>
  <si>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</si>
  <si>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</si>
  <si>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</si>
  <si>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</si>
  <si>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</si>
  <si>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</si>
  <si>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</si>
  <si>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</si>
  <si>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</si>
  <si>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</si>
  <si>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</si>
  <si>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</si>
  <si>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</si>
  <si>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II этап</t>
  </si>
  <si>
    <t>3-й год реализации проекта, I этап, ёмкость парка хранения 200 м3, транспортирование 2-я машинами</t>
  </si>
  <si>
    <t>СУГ на остаке, кг</t>
  </si>
  <si>
    <t>Входящий остаток СУГ, кг</t>
  </si>
  <si>
    <t>Транспортирование СУГ, кг</t>
  </si>
  <si>
    <t>Количество рейсов</t>
  </si>
  <si>
    <t>Потребление СУГ, кг</t>
  </si>
  <si>
    <t>итого</t>
  </si>
  <si>
    <t>4-й год реализации проекта, II этап, ёмкость парка хранения 400 м3, транспортирование 3-я машинами</t>
  </si>
  <si>
    <t>5-й год реализации проекта, II этап, ёмкость парка хранения 400 м3, транспортирование 3-я машинами</t>
  </si>
  <si>
    <t>6-й год реализации проекта, II этап, ёмкость парка хранения 400 м3, транспортирование 3-я машинами</t>
  </si>
  <si>
    <t>7-й год реализации проекта, II этап, ёмкость парка хранения 400 м3, транспортирование 3-я машинами</t>
  </si>
  <si>
    <t>8-й год реализации проекта, II этап, ёмкость парка хранения 400 м3, транспортирование 3-я машинами</t>
  </si>
  <si>
    <t>9-й год реализации проекта, II этап, ёмкость парка хранения 400 м3, транспортирование 3-я машинами</t>
  </si>
  <si>
    <t>10-й год реализации проекта, II этап, ёмкость парка хранения 400 м3, транспортирование 3-я машинами</t>
  </si>
  <si>
    <t>11-й год реализации проекта, II этап, ёмкость парка хранения 400 м3, транспортирование 3-я машинами</t>
  </si>
  <si>
    <t>12-й год реализации проекта, II этап, ёмкость парка хранения 400 м3, транспортирование 3-я машинами</t>
  </si>
  <si>
    <t>13-й год реализации проекта, II этап, ёмкость парка хранения 400 м3, транспортирование 3-я машинами</t>
  </si>
  <si>
    <t>14-й год реализации проекта, II этап, ёмкость парка хранения 400 м3, транспортирование 3-я машинами</t>
  </si>
  <si>
    <t>15-й год реализации проекта, II этап, ёмкость парка хранения 400 м3, транспортирование 3-я машинами</t>
  </si>
  <si>
    <t>Транспортирование СУГ (кг)</t>
  </si>
  <si>
    <t>Стимулирующая часть старшего водителя (руб.)</t>
  </si>
  <si>
    <t>Стимулирующая часть водителя (руб.)</t>
  </si>
  <si>
    <t xml:space="preserve"> 3-й год реализации, I этап, 2 машины</t>
  </si>
  <si>
    <t xml:space="preserve"> 4-й год реализации, II этап, 3 машины</t>
  </si>
  <si>
    <t xml:space="preserve"> 5-й год реализации, II этап, 3 машины</t>
  </si>
  <si>
    <t xml:space="preserve"> 6-й год реализации, II этап, 3 машины</t>
  </si>
  <si>
    <t xml:space="preserve"> 7-й год реализации, II этап, 3 машины</t>
  </si>
  <si>
    <t xml:space="preserve"> 8-й год реализации, II этап, 3 машины</t>
  </si>
  <si>
    <t xml:space="preserve"> 9-й год реализации, II этап, 3 машины</t>
  </si>
  <si>
    <t xml:space="preserve"> 10-й год реализации, II этап, 3 машины</t>
  </si>
  <si>
    <t xml:space="preserve"> 11-й год реализации, II этап, 3 машины</t>
  </si>
  <si>
    <t xml:space="preserve"> 12-й год реализации, II этап, 3 машины</t>
  </si>
  <si>
    <t xml:space="preserve"> 13-й год реализации, II этап, 3 машины</t>
  </si>
  <si>
    <t xml:space="preserve"> 14-й год реализации, II этап, 3 машины</t>
  </si>
  <si>
    <t xml:space="preserve"> 15-й год реализации, II этап, 3 машины</t>
  </si>
  <si>
    <t>Заработная плата нарастаюшим итогом</t>
  </si>
  <si>
    <t>Взносы на обязательное медицинское страхование 5,1% с ФОТ, руб.</t>
  </si>
  <si>
    <t>на травматизм 0,2% с ФОТ (по водителям 0,4%), руб.</t>
  </si>
  <si>
    <t>начало года</t>
  </si>
  <si>
    <t xml:space="preserve"> 3-й год реализации проекта, I этап</t>
  </si>
  <si>
    <t xml:space="preserve"> 4-й год реализации проекта, II этап</t>
  </si>
  <si>
    <t xml:space="preserve"> 5-й год реализации проекта, II этап</t>
  </si>
  <si>
    <t xml:space="preserve"> 6-й год реализации проекта, II этап</t>
  </si>
  <si>
    <t xml:space="preserve"> 7-й год реализации проекта, II этап</t>
  </si>
  <si>
    <t xml:space="preserve"> 8-й год реализации проекта, II этап</t>
  </si>
  <si>
    <t xml:space="preserve"> 9-й год реализации проекта, II этап</t>
  </si>
  <si>
    <t xml:space="preserve"> 10-й год реализации проекта, II этап</t>
  </si>
  <si>
    <t xml:space="preserve"> 11-й год реализации проекта, II этап</t>
  </si>
  <si>
    <t xml:space="preserve"> 12-й год реализации проекта, II этап</t>
  </si>
  <si>
    <t xml:space="preserve"> 13-й год реализации проекта, II этап</t>
  </si>
  <si>
    <t xml:space="preserve"> 14-й год реализации проекта, II этап</t>
  </si>
  <si>
    <t xml:space="preserve"> 15-й год реализации проекта, II этап</t>
  </si>
  <si>
    <t>Начисления по вновь принятому старшему водителю</t>
  </si>
  <si>
    <t xml:space="preserve"> 3-й год реализации проекта, II этап</t>
  </si>
  <si>
    <t>Начисления по вновь принятому водителю</t>
  </si>
  <si>
    <t>Общее начисление на ФОТ по годам реализации проекта (руб.)</t>
  </si>
  <si>
    <t>руководитель</t>
  </si>
  <si>
    <t>инженер</t>
  </si>
  <si>
    <t>бухгалтер</t>
  </si>
  <si>
    <t>Начисления на заработную плату старшего водителя помесячно (руб.)</t>
  </si>
  <si>
    <t>Начисления на заработную плату водителя помесячно (руб.)</t>
  </si>
  <si>
    <t>юристконсульт</t>
  </si>
  <si>
    <t>1-й год реализации проекта, I этап</t>
  </si>
  <si>
    <t>Должности</t>
  </si>
  <si>
    <t>2-й год реализации проекта, I этап</t>
  </si>
  <si>
    <t>слесарь 5 т.р. х 2 ед.</t>
  </si>
  <si>
    <t>слесарь 3 т.р. х 2 ед.</t>
  </si>
  <si>
    <t>3-й год реализации проекта, I этап</t>
  </si>
  <si>
    <t xml:space="preserve">старший водитель х 2 ед. </t>
  </si>
  <si>
    <t>водитель х 2 ед.</t>
  </si>
  <si>
    <t xml:space="preserve">старший водитель х 3 ед. </t>
  </si>
  <si>
    <t>водитель х 3 ед.</t>
  </si>
  <si>
    <t>4-й год реализации проекта, II этап</t>
  </si>
  <si>
    <t>5-й год реализации проекта, II этап</t>
  </si>
  <si>
    <t>6-й год реализации проекта, II этап</t>
  </si>
  <si>
    <t>7-й год реализации проекта, II этап</t>
  </si>
  <si>
    <t>8-й год реализации проекта, II этап</t>
  </si>
  <si>
    <t>9-й год реализации проекта, II этап</t>
  </si>
  <si>
    <t>10-й год реализации проекта, II этап</t>
  </si>
  <si>
    <t>11-й год реализации проекта, II этап</t>
  </si>
  <si>
    <t>12-й год реализации проекта, II этап</t>
  </si>
  <si>
    <t>13-й год реализации проекта, II этап</t>
  </si>
  <si>
    <t>14-й год реализации проекта, II этап</t>
  </si>
  <si>
    <t>15-й год реализации проекта, II этап</t>
  </si>
  <si>
    <t>График затрат на электроэнергию на технологические нужды</t>
  </si>
  <si>
    <t>потребление СУГ, кг</t>
  </si>
  <si>
    <t xml:space="preserve"> электроэнергия,руб.</t>
  </si>
  <si>
    <t>электроэнергия, руб.</t>
  </si>
  <si>
    <t>года реализации проекта</t>
  </si>
  <si>
    <t>500руб./суткиХ3суток/рейс Хводителя=3000руб./рейс</t>
  </si>
  <si>
    <t>месяца года</t>
  </si>
  <si>
    <t>График командировочных расходов водителей (руб.)</t>
  </si>
  <si>
    <t>3-й год</t>
  </si>
  <si>
    <t>рейсы</t>
  </si>
  <si>
    <t>командировочные расходы</t>
  </si>
  <si>
    <t>4-й год</t>
  </si>
  <si>
    <t>5-й год</t>
  </si>
  <si>
    <t>6-й год</t>
  </si>
  <si>
    <t>7-й год</t>
  </si>
  <si>
    <t>8-й год</t>
  </si>
  <si>
    <t>9-й год</t>
  </si>
  <si>
    <t>10-й год</t>
  </si>
  <si>
    <t>11-й год</t>
  </si>
  <si>
    <t>12-й год</t>
  </si>
  <si>
    <t>13-й год</t>
  </si>
  <si>
    <t>14-й год</t>
  </si>
  <si>
    <t>15-й год</t>
  </si>
  <si>
    <t>покупка СУГ (кг)</t>
  </si>
  <si>
    <t>расходы на покупку СУГ (руб.)</t>
  </si>
  <si>
    <t>График расходов на покупку СУГ (руб.)</t>
  </si>
  <si>
    <t>средневзвешенная ценаСУГ Х покупкаСУГ =расходы на покупку СУГ</t>
  </si>
  <si>
    <t>год реализации проекта</t>
  </si>
  <si>
    <t>График расходов на ГСМ на газовозы (руб.)</t>
  </si>
  <si>
    <t>расход ГСМ (руб.)</t>
  </si>
  <si>
    <t>расход ГСМ по нормам (руб./рейс)</t>
  </si>
  <si>
    <t>График расходов на инос шин (руб.)</t>
  </si>
  <si>
    <t>износ шин (руб.)</t>
  </si>
  <si>
    <t>расходы на износ шин (руб.)</t>
  </si>
  <si>
    <t>График расходов на оплату проезда по федеральным дорогам (руб.)</t>
  </si>
  <si>
    <t>оплата за один рейс (руб.)</t>
  </si>
  <si>
    <t>расходы на оплату проезда (руб.)</t>
  </si>
  <si>
    <t>2-й год реализации проекта</t>
  </si>
  <si>
    <t>Наименование основных средств</t>
  </si>
  <si>
    <t>Итого</t>
  </si>
  <si>
    <t>служебная машина</t>
  </si>
  <si>
    <t>3-й год реализации проекта</t>
  </si>
  <si>
    <t>ГРС I этап</t>
  </si>
  <si>
    <t>Парк хранения СУГ I этап</t>
  </si>
  <si>
    <t>Автомобили тягачи I этап (2 ед.)</t>
  </si>
  <si>
    <t>Цистерны полуприцепы I этап (2 ед.)</t>
  </si>
  <si>
    <t>Азотная установка</t>
  </si>
  <si>
    <t>4-й год реализации проекта</t>
  </si>
  <si>
    <t>ГРС II этап</t>
  </si>
  <si>
    <t>Парк хранения СУГ II этап</t>
  </si>
  <si>
    <t>Автомобили тягачи II этап (1 ед.)</t>
  </si>
  <si>
    <t>Цистерны полуприцепы II этап (1 ед.)</t>
  </si>
  <si>
    <t>5-й год реализации проекта</t>
  </si>
  <si>
    <t>6-й год реализации проекта</t>
  </si>
  <si>
    <t>7-й год реализации проекта</t>
  </si>
  <si>
    <t>8-й год реализации проекта</t>
  </si>
  <si>
    <t>9-й год реализации проекта</t>
  </si>
  <si>
    <t>10-й год реализации проекта</t>
  </si>
  <si>
    <t>11-й год реализации проекта</t>
  </si>
  <si>
    <t>12-й год реализации проекта</t>
  </si>
  <si>
    <t>13-й год реализации проекта</t>
  </si>
  <si>
    <t>14-й год реализации проекта</t>
  </si>
  <si>
    <t>15-й год реализации проекта</t>
  </si>
  <si>
    <t>Остаточная стоимость ОС</t>
  </si>
  <si>
    <t>Служебная машина</t>
  </si>
  <si>
    <t>Сумма налога</t>
  </si>
  <si>
    <t>Итого остаточная стоимость</t>
  </si>
  <si>
    <t>16-й год реализации проекта</t>
  </si>
  <si>
    <t>средневзвешенная цена СУГ (руб./тн)</t>
  </si>
  <si>
    <t>Месяц проекта</t>
  </si>
  <si>
    <t>Дата</t>
  </si>
  <si>
    <t>январь 2020 г.</t>
  </si>
  <si>
    <t>февраль 2020 г.</t>
  </si>
  <si>
    <t>март 2020 г.</t>
  </si>
  <si>
    <t>апрель 2020 г.</t>
  </si>
  <si>
    <t>май 2020 г.</t>
  </si>
  <si>
    <t>июнь 2020 г.</t>
  </si>
  <si>
    <t>июль 2020 г.</t>
  </si>
  <si>
    <t>август 2020 г.</t>
  </si>
  <si>
    <t>сентябрь 2020 г.</t>
  </si>
  <si>
    <t>октябрь 2020 г.</t>
  </si>
  <si>
    <t>ноябрь 2020 г.</t>
  </si>
  <si>
    <t>декабрь 2020 г.</t>
  </si>
  <si>
    <t>2020 год</t>
  </si>
  <si>
    <t>январь 2021 г.</t>
  </si>
  <si>
    <t>февраль 2021 г.</t>
  </si>
  <si>
    <t>март 2021 г.</t>
  </si>
  <si>
    <t>апрель 2021 г.</t>
  </si>
  <si>
    <t>май 2021 г.</t>
  </si>
  <si>
    <t>июнь 2021 г.</t>
  </si>
  <si>
    <t>июль 2021 г.</t>
  </si>
  <si>
    <t>август 2021 г.</t>
  </si>
  <si>
    <t>сентябрь 2021 г.</t>
  </si>
  <si>
    <t>октябрь 2021 г.</t>
  </si>
  <si>
    <t>ноябрь 2021 г.</t>
  </si>
  <si>
    <t>декабрь 2021 г.</t>
  </si>
  <si>
    <t>2021 год</t>
  </si>
  <si>
    <t>январь 2022 г.</t>
  </si>
  <si>
    <t>февраль 2022 г.</t>
  </si>
  <si>
    <t>март 2022 г.</t>
  </si>
  <si>
    <t>апрель 2022 г.</t>
  </si>
  <si>
    <t>май 2022 г.</t>
  </si>
  <si>
    <t>июнь 2022 г.</t>
  </si>
  <si>
    <t>июль 2022 г.</t>
  </si>
  <si>
    <t>август 2022 г.</t>
  </si>
  <si>
    <t>сентябрь 2022 г.</t>
  </si>
  <si>
    <t>октябрь 2022 г.</t>
  </si>
  <si>
    <t>ноябрь 2022 г.</t>
  </si>
  <si>
    <t>декабрь 2022 г.</t>
  </si>
  <si>
    <t>2022 год</t>
  </si>
  <si>
    <t>январь 2023 г.</t>
  </si>
  <si>
    <t>февраль 2023 г.</t>
  </si>
  <si>
    <t>март 2023 г.</t>
  </si>
  <si>
    <t>апрель 2023 г.</t>
  </si>
  <si>
    <t>май 2023 г.</t>
  </si>
  <si>
    <t>июнь 2023 г.</t>
  </si>
  <si>
    <t>июль 2023 г.</t>
  </si>
  <si>
    <t>август 2023 г.</t>
  </si>
  <si>
    <t>сентябрь 2023 г.</t>
  </si>
  <si>
    <t>октябрь 2023 г.</t>
  </si>
  <si>
    <t>ноябрь 2023 г.</t>
  </si>
  <si>
    <t>декабрь 2023 г.</t>
  </si>
  <si>
    <t>январь 2024 г.</t>
  </si>
  <si>
    <t>февраль 2024 г.</t>
  </si>
  <si>
    <t>март 2024 г.</t>
  </si>
  <si>
    <t>апрель 2024 г.</t>
  </si>
  <si>
    <t>май 2024 г.</t>
  </si>
  <si>
    <t>июнь 2024 г.</t>
  </si>
  <si>
    <t>июль 2024 г.</t>
  </si>
  <si>
    <t>август 2024 г.</t>
  </si>
  <si>
    <t>сентябрь 2024 г.</t>
  </si>
  <si>
    <t>ноябрь 2024 г.</t>
  </si>
  <si>
    <t>декабрь 2024 г.</t>
  </si>
  <si>
    <t>январь 2025 г.</t>
  </si>
  <si>
    <t>февраль 2025 г.</t>
  </si>
  <si>
    <t>март 2025 г.</t>
  </si>
  <si>
    <t>апрель 2025 г.</t>
  </si>
  <si>
    <t>май 2025 г.</t>
  </si>
  <si>
    <t>июнь 2025 г.</t>
  </si>
  <si>
    <t>июль 2025 г.</t>
  </si>
  <si>
    <t>август 2025 г.</t>
  </si>
  <si>
    <t>сентябрь 2025 г.</t>
  </si>
  <si>
    <t>ноябрь 2025 г.</t>
  </si>
  <si>
    <t>декабрь 2025 г.</t>
  </si>
  <si>
    <t>2025 год</t>
  </si>
  <si>
    <t>январь 2026 г.</t>
  </si>
  <si>
    <t>февраль 2026 г.</t>
  </si>
  <si>
    <t>март 2026 г.</t>
  </si>
  <si>
    <t>апрель 2026 г.</t>
  </si>
  <si>
    <t>май 2026 г.</t>
  </si>
  <si>
    <t>июнь 2026 г.</t>
  </si>
  <si>
    <t>июль 2026 г.</t>
  </si>
  <si>
    <t>август 2026 г.</t>
  </si>
  <si>
    <t>сентябрь 2026 г.</t>
  </si>
  <si>
    <t>октябрь 2026 г.</t>
  </si>
  <si>
    <t>ноябрь 2026 г.</t>
  </si>
  <si>
    <t>декабрь 2026 г.</t>
  </si>
  <si>
    <t>2026 год</t>
  </si>
  <si>
    <t>январь 2027 г.</t>
  </si>
  <si>
    <t>февраль 2027 г.</t>
  </si>
  <si>
    <t>март 2027 г.</t>
  </si>
  <si>
    <t>апрель 2027 г.</t>
  </si>
  <si>
    <t>май 2027 г.</t>
  </si>
  <si>
    <t>июнь 2027 г.</t>
  </si>
  <si>
    <t>июль 2027 г.</t>
  </si>
  <si>
    <t>август 2027 г.</t>
  </si>
  <si>
    <t>сентябрь 2027 г.</t>
  </si>
  <si>
    <t>октябрь 2027 г.</t>
  </si>
  <si>
    <t>ноябрь 2027 г.</t>
  </si>
  <si>
    <t>декабрь 2027 г.</t>
  </si>
  <si>
    <t>2027 год</t>
  </si>
  <si>
    <t>январь 2028 г.</t>
  </si>
  <si>
    <t>февраль 2028 г.</t>
  </si>
  <si>
    <t>март 2028 г.</t>
  </si>
  <si>
    <t>апрель 2028 г.</t>
  </si>
  <si>
    <t>май 2028 г.</t>
  </si>
  <si>
    <t>июнь 2028 г.</t>
  </si>
  <si>
    <t>июль 2028 г.</t>
  </si>
  <si>
    <t>август 2028 г.</t>
  </si>
  <si>
    <t>сентябрь 2028 г.</t>
  </si>
  <si>
    <t>октябрь 2028 г.</t>
  </si>
  <si>
    <t>ноябрь 2028 г.</t>
  </si>
  <si>
    <t>декабрь 2028 г.</t>
  </si>
  <si>
    <t>2028 год</t>
  </si>
  <si>
    <t>январь 2029 г.</t>
  </si>
  <si>
    <t>февраль 2029 г.</t>
  </si>
  <si>
    <t>март 2029 г.</t>
  </si>
  <si>
    <t>апрель 2029 г.</t>
  </si>
  <si>
    <t>май 2029 г.</t>
  </si>
  <si>
    <t>июнь 2029 г.</t>
  </si>
  <si>
    <t>июль 2029 г.</t>
  </si>
  <si>
    <t>август 2029 г.</t>
  </si>
  <si>
    <t>сентябрь 2029 г.</t>
  </si>
  <si>
    <t>октябрь 2029 г.</t>
  </si>
  <si>
    <t>ноябрь 2029 г.</t>
  </si>
  <si>
    <t>декабрь 2029 г.</t>
  </si>
  <si>
    <t>2029 год</t>
  </si>
  <si>
    <t>январь 2030 г.</t>
  </si>
  <si>
    <t>февраль 2030 г.</t>
  </si>
  <si>
    <t>март 2030 г.</t>
  </si>
  <si>
    <t>апрель 2030 г.</t>
  </si>
  <si>
    <t>май 2030 г.</t>
  </si>
  <si>
    <t>июнь 2030 г.</t>
  </si>
  <si>
    <t>июль 2030 г.</t>
  </si>
  <si>
    <t>август 2030 г.</t>
  </si>
  <si>
    <t>сентябрь 2030 г.</t>
  </si>
  <si>
    <t>октябрь 2030 г.</t>
  </si>
  <si>
    <t>ноябрь 2030 г.</t>
  </si>
  <si>
    <t>декабрь 2030 г.</t>
  </si>
  <si>
    <t>2030 год</t>
  </si>
  <si>
    <t>январь 2031 г.</t>
  </si>
  <si>
    <t>февраль 2031 г.</t>
  </si>
  <si>
    <t>март 2031 г.</t>
  </si>
  <si>
    <t>апрель 2031 г.</t>
  </si>
  <si>
    <t>май 2031 г.</t>
  </si>
  <si>
    <t>июнь 2031 г.</t>
  </si>
  <si>
    <t>июль 2031 г.</t>
  </si>
  <si>
    <t>август 2031 г.</t>
  </si>
  <si>
    <t>сентябрь 2031 г.</t>
  </si>
  <si>
    <t>октябрь 2031 г.</t>
  </si>
  <si>
    <t>ноябрь 2031 г.</t>
  </si>
  <si>
    <t>декабрь 2031 г.</t>
  </si>
  <si>
    <t>2031 год</t>
  </si>
  <si>
    <t>январь 2032 г.</t>
  </si>
  <si>
    <t>февраль 2032 г.</t>
  </si>
  <si>
    <t>март 2032 г.</t>
  </si>
  <si>
    <t>апрель 2032 г.</t>
  </si>
  <si>
    <t>май 2032 г.</t>
  </si>
  <si>
    <t>июнь 2032 г.</t>
  </si>
  <si>
    <t>июль 2032 г.</t>
  </si>
  <si>
    <t>август 2032 г.</t>
  </si>
  <si>
    <t>сентябрь 2032 г.</t>
  </si>
  <si>
    <t>октябрь 2032 г.</t>
  </si>
  <si>
    <t>ноябрь 2032 г.</t>
  </si>
  <si>
    <t>декабрь 2032 г.</t>
  </si>
  <si>
    <t>2032 год</t>
  </si>
  <si>
    <t>год</t>
  </si>
  <si>
    <t>в тыс. руб.</t>
  </si>
  <si>
    <t>СПЕЦИАЛЬНАЯ КОМПАНИЯ</t>
  </si>
  <si>
    <t>ОТЧЁТ О ДВИЖЕНИИ ДЕНЕЖНЫХ СРЕДСТВ (cash flow)</t>
  </si>
  <si>
    <t>Наименование строки:</t>
  </si>
  <si>
    <t>ОПЕРАЦИОННАЯ ДЕЯТЕЛЬНОСТЬ</t>
  </si>
  <si>
    <t>Приток</t>
  </si>
  <si>
    <t>Отток</t>
  </si>
  <si>
    <t>Административно-управленческие расходы</t>
  </si>
  <si>
    <t>оплата труда</t>
  </si>
  <si>
    <t>электроэнергия (с НДС)</t>
  </si>
  <si>
    <t>телефон (с НДС)</t>
  </si>
  <si>
    <t>интернет (с НДС)</t>
  </si>
  <si>
    <t>прграммное сопровождение (с НДС)</t>
  </si>
  <si>
    <t>ГСМ (с НДС)</t>
  </si>
  <si>
    <t>обслуживание служебной автомашины (с НДС)</t>
  </si>
  <si>
    <t>канцелярские расходы, расходники оргтехники (с НДС)</t>
  </si>
  <si>
    <t>Эксплуатационные расходы</t>
  </si>
  <si>
    <t>этиленгликоль (с НДС)</t>
  </si>
  <si>
    <t>специальный инструмент, расходные материалы, средства защиты (с НДС)</t>
  </si>
  <si>
    <t>командировочные расходы водителей</t>
  </si>
  <si>
    <t>покупка СУГ (с НДС)</t>
  </si>
  <si>
    <t>ГСМ  на газовозы (с НДС)</t>
  </si>
  <si>
    <t>инос шин (с НДС)</t>
  </si>
  <si>
    <t>плата за проезд по федеральным дорогам</t>
  </si>
  <si>
    <t>Расходы на приобретение и транспортировку СУГ</t>
  </si>
  <si>
    <t>ГСМ на газовозы (с НДС)</t>
  </si>
  <si>
    <t>обслуживание газовозов (с НДС)</t>
  </si>
  <si>
    <t>Налоги, страхование</t>
  </si>
  <si>
    <t>взносы во внебюджетные фонды</t>
  </si>
  <si>
    <t>транспортный налог на служебную машину</t>
  </si>
  <si>
    <t>транспортный налог на газовозы</t>
  </si>
  <si>
    <t>аренда земельных участков</t>
  </si>
  <si>
    <t>ОСАГО на служебную машину</t>
  </si>
  <si>
    <t>ОСАГО на газовозы</t>
  </si>
  <si>
    <t>страхование опасных производственных объектов</t>
  </si>
  <si>
    <t>страхование участка транспортирования опасных веществ</t>
  </si>
  <si>
    <t xml:space="preserve">страхование расходов на ликвидацию последствий аварий </t>
  </si>
  <si>
    <t>налог на прибыль</t>
  </si>
  <si>
    <t>Денежный поток от текущей деятельности</t>
  </si>
  <si>
    <t>ИНВЕСТИЦИОННАЯ ДЕЯТЕЛЬНОСТЬ</t>
  </si>
  <si>
    <t>Поступления от реализации активов (тягач Volvo)</t>
  </si>
  <si>
    <t>Поступления от реализации активов (служебная автомашина)</t>
  </si>
  <si>
    <t>Покупка оборудования для рабочих мест в офисе (с НДС)</t>
  </si>
  <si>
    <t>Покупка программного обеспечения (с НДС)</t>
  </si>
  <si>
    <t>Денежный поток от инвестиционной деятельности</t>
  </si>
  <si>
    <t>ФИНАНСОВАЯ ДЕЯТЕЛЬНОСТЬ</t>
  </si>
  <si>
    <t>Возврат налога на имущество из бюджета</t>
  </si>
  <si>
    <t>Денежный поток от финансовой деятельности</t>
  </si>
  <si>
    <t>Общий денежный поток за период</t>
  </si>
  <si>
    <t>Общий денежный поток нарастающим итогом</t>
  </si>
  <si>
    <t>ОТЧЁТ О ПРИБЫЛЯХ И УБЫТКАХ</t>
  </si>
  <si>
    <t>Наименование:</t>
  </si>
  <si>
    <t>ДОХОДЫ И РАСХОДЫ ПО ОБЫЧНЫМ ВИДАМ ДЕЯТЕЛЬНОСТИ</t>
  </si>
  <si>
    <t>Выручка от реализации товаров/услуг</t>
  </si>
  <si>
    <t>Эксплутационные расходы и расходы на приобретение и транспортировку СУГ</t>
  </si>
  <si>
    <t>Валовая прибыль</t>
  </si>
  <si>
    <t>Административно - управленческие расходы</t>
  </si>
  <si>
    <t>Прибыль от продаж</t>
  </si>
  <si>
    <t>ПРОЧИЕ ДОХОДЫ И РАСХОДЫ</t>
  </si>
  <si>
    <t>Покупка малоценных ОС (+), реализация активов (-)</t>
  </si>
  <si>
    <t>Проценты к уплате</t>
  </si>
  <si>
    <t>Амортизация ОС</t>
  </si>
  <si>
    <t>Прибыль до налогообложения (убыток)</t>
  </si>
  <si>
    <t>Текущий налог на прибыль</t>
  </si>
  <si>
    <t>Чистая прибыль отчетного периода (убыток)</t>
  </si>
  <si>
    <t>Чистая прибыль отчетного периода нарастающим итогом (убыток)</t>
  </si>
  <si>
    <t>НДС в бюджет (20 %)</t>
  </si>
  <si>
    <t>Разработка ПСД (в составе стоимости СМР ГРС I этапа) (с НДС)</t>
  </si>
  <si>
    <t>Возврат НДС из бюджета</t>
  </si>
  <si>
    <t>Возврат налога на прибыль из бюджета</t>
  </si>
  <si>
    <t>Выручка от реализации</t>
  </si>
  <si>
    <t>аренда офиса ( с НДС)</t>
  </si>
  <si>
    <t>технологические потери СУГ (0,5 %):</t>
  </si>
  <si>
    <t>январь 2033 г.</t>
  </si>
  <si>
    <t>февраль 2033 г.</t>
  </si>
  <si>
    <t>март 2033 г.</t>
  </si>
  <si>
    <t>апрель 2033 г.</t>
  </si>
  <si>
    <t>май 2033 г.</t>
  </si>
  <si>
    <t>июнь 2033 г.</t>
  </si>
  <si>
    <t>июль 2033 г.</t>
  </si>
  <si>
    <t>август 2033 г.</t>
  </si>
  <si>
    <t>сентябрь 2033 г.</t>
  </si>
  <si>
    <t>октябрь 2033 г.</t>
  </si>
  <si>
    <t>ноябрь 2033 г.</t>
  </si>
  <si>
    <t>декабрь 2033 г.</t>
  </si>
  <si>
    <t>2033 год</t>
  </si>
  <si>
    <t>январь 2034 г.</t>
  </si>
  <si>
    <t>февраль 2034 г.</t>
  </si>
  <si>
    <t>март 2034 г.</t>
  </si>
  <si>
    <t>апрель 2034 г.</t>
  </si>
  <si>
    <t>май 2034 г.</t>
  </si>
  <si>
    <t>июнь 2034 г.</t>
  </si>
  <si>
    <t>июль 2034 г.</t>
  </si>
  <si>
    <t>август 2034 г.</t>
  </si>
  <si>
    <t>сентябрь 2034 г.</t>
  </si>
  <si>
    <t>октябрь 2034 г.</t>
  </si>
  <si>
    <t>ноябрь 2034 г.</t>
  </si>
  <si>
    <t>декабрь 2034 г.</t>
  </si>
  <si>
    <t>2034 год</t>
  </si>
  <si>
    <t>СМР ГРС I этап (предоплата 50 %) (с НДС)</t>
  </si>
  <si>
    <t>СМР ГРС I этап (оплата 50 %) (с НДС)</t>
  </si>
  <si>
    <t>СМР парка хранения СУГ I этап (предоплата 50 %) (с НДС)</t>
  </si>
  <si>
    <t>СМР парка хранения СУГ I этап (оплата 50 %) (с НДС)</t>
  </si>
  <si>
    <t>СМР ГРС II этап (предоплата 50 %) (с НДС)</t>
  </si>
  <si>
    <t>СМР ГРС II этап (оплата 50 %) (с НДС)</t>
  </si>
  <si>
    <t>СМР парка хранения СУГ II этап (предоплата 50 %) (с НДС)</t>
  </si>
  <si>
    <t>СМР парка хранения СУГ II этап (оплата 50 %) (с НДС)</t>
  </si>
  <si>
    <t>Покупка тягачей Volvo I этап (предоплата 50 %) (с НДС)</t>
  </si>
  <si>
    <t>Покупка тягачей Volvo I этап (оплата 50 %) (с НДС)</t>
  </si>
  <si>
    <t>Покупка полуприцепов I этап (предоплата 50 %) (с НДС)</t>
  </si>
  <si>
    <t>Покупка полуприцепов I этап (оплата 50 %) (с НДС)</t>
  </si>
  <si>
    <t>Покупка тягачей Volvo II этап (предоплата 50 %) (с НДС)</t>
  </si>
  <si>
    <t>Покупка тягачей Volvo II этап (оплата 50 %) (с НДС)</t>
  </si>
  <si>
    <t>Покупка полуприцепов II этап (предоплата 50 %) (с НДС)</t>
  </si>
  <si>
    <t>Покупка полуприцепов II этап (оплата 50 %) (с НДС)</t>
  </si>
  <si>
    <t>Покупка служебной машины (предоплата 50 %) (с НДС)</t>
  </si>
  <si>
    <t>Покупка служебной машины (оплата 50 %) (с НДС)</t>
  </si>
  <si>
    <t>Покупка азотной установки (предоплата 50 %) (с НДС)</t>
  </si>
  <si>
    <t>Покупка азотной установки (оплата 50 %) (с НДС)</t>
  </si>
  <si>
    <t>Расчёт амортизации ОС (руб.)</t>
  </si>
  <si>
    <t>Штатное расписание (исходя из МРОТ 12130 руб. с 01.01.2020 г.)</t>
  </si>
  <si>
    <t xml:space="preserve">22% с ФОТ в пределах 1292000 руб. (8), руб. </t>
  </si>
  <si>
    <t>10% с ФОТ свыше 1292000 руб. (8), руб.</t>
  </si>
  <si>
    <t>на случай временной нетрудоспособности и в связи с материнством 2,9% с ФОТ в пределах 912000 руб. (8), руб.</t>
  </si>
  <si>
    <t>Расчёт ФОТ водителей, с учётом привязки стимулирующей части ФОТ к объёмам перевезённого СУГ (3771168,48 руб./2/4663,02323тн.=404,37руб./тн. по старшим водителям и 2969424,00руб./2/4663,02323тн.=318,40руб./тн. по водителям) (руб.)</t>
  </si>
  <si>
    <t>Итого з/плата старшего водителя (+52377,34)</t>
  </si>
  <si>
    <t>Итого з/плата водителя (+41242,00)</t>
  </si>
  <si>
    <t>22% с ФОТ в пределах 1292000 руб.</t>
  </si>
  <si>
    <t>на случай временной нетрудоспособности и в связи с материнством 2,9 % с ФОТ в пределах 912000 руб.</t>
  </si>
  <si>
    <t>10% с ФОТ свыше 1292000 руб.</t>
  </si>
  <si>
    <t>на случай временной нетрудоспособности и в связи с материнством 2,9 % с ФОТ в пределах  912000 руб.</t>
  </si>
  <si>
    <t>налог на имущество (2,2 %)</t>
  </si>
  <si>
    <t>Расчёт налога на имущество по ставке 2,2 % (руб.)</t>
  </si>
  <si>
    <t>Вложения Инвестора (Банка)</t>
  </si>
  <si>
    <t>Выплаты для Инвестора (Банка) (основной долг)</t>
  </si>
  <si>
    <t>2023 год</t>
  </si>
  <si>
    <t>октябрь 2024 г.</t>
  </si>
  <si>
    <t xml:space="preserve">2024 год </t>
  </si>
  <si>
    <t xml:space="preserve">октябрь 2025 г. </t>
  </si>
  <si>
    <t>январь 2035 г.</t>
  </si>
  <si>
    <t>февраль 2035г.</t>
  </si>
  <si>
    <t>март 2035 г.</t>
  </si>
  <si>
    <t>апрель 2035 г.</t>
  </si>
  <si>
    <t>май 2035 г.</t>
  </si>
  <si>
    <t>июнь 2035 г.</t>
  </si>
  <si>
    <t>июль 2035 г.</t>
  </si>
  <si>
    <t>август 2035 г.</t>
  </si>
  <si>
    <t>сентябрь 2035 г.</t>
  </si>
  <si>
    <t>октябрь 2035 г.</t>
  </si>
  <si>
    <t>ноябрь 2035 г.</t>
  </si>
  <si>
    <t>декабрь 2035 г.</t>
  </si>
  <si>
    <t>2035 год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</si>
</sst>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mmm/yyyy"/>
    <numFmt numFmtId="174" formatCode="[$-419]mmmm;@"/>
    <numFmt numFmtId="175" formatCode="_-* #,##0\ &quot;руб&quot;_-;\-* #,##0\ &quot;руб&quot;_-;_-* &quot;-&quot;\ &quot;руб&quot;_-;_-@_-"/>
    <numFmt numFmtId="176" formatCode="mmmm\ d\,\ yyyy"/>
    <numFmt numFmtId="177" formatCode="0000"/>
    <numFmt numFmtId="178" formatCode="##,#0_;\(#,##0\);&quot;-&quot;??_);@"/>
    <numFmt numFmtId="179" formatCode="*(#,##0\);*#\,##0_);&quot;-&quot;??_);@"/>
    <numFmt numFmtId="180" formatCode="_*\(#,##0\);_*#,##0_);&quot;-&quot;??_);@"/>
    <numFmt numFmtId="181" formatCode="* \(#,##0\);* #,##0_);&quot;-&quot;??_);@"/>
    <numFmt numFmtId="182" formatCode="#,##0_);\(#,##0\);&quot;-&quot;??_);@"/>
    <numFmt numFmtId="183" formatCode="* #,##0_);* \(#,##0\);&quot;-&quot;??_);@"/>
    <numFmt numFmtId="184" formatCode="_-* #,##0_-;\-* #,##0_-;_-* &quot;-&quot;_-;_-@_-"/>
    <numFmt numFmtId="185" formatCode="_-* #,##0.00_-;\-* #,##0.00_-;_-* &quot;-&quot;??_-;_-@_-"/>
    <numFmt numFmtId="186" formatCode="_-* #,##0.00[$€-1]_-;\-* #,##0.00[$€-1]_-;_-* &quot;-&quot;??[$€-1]_-"/>
    <numFmt numFmtId="187" formatCode="_(* #,##0_);_(* \(#,##0\);_(* &quot;-&quot;??_);_(@_)"/>
    <numFmt numFmtId="188" formatCode="0.0_)%;\(0.0\)%"/>
    <numFmt numFmtId="189" formatCode="0.00_)%;\(0.00\)%"/>
    <numFmt numFmtId="190" formatCode="* \(#,##0.0\);* #,##0.0_);&quot;-&quot;??_);@"/>
    <numFmt numFmtId="191" formatCode="* \(#,##0.00\);* #,##0.00_);&quot;-&quot;??_);@"/>
    <numFmt numFmtId="192" formatCode="_(* \(#,##0.0\);_(* #,##0.0_);_(* &quot;-&quot;_);_(@_)"/>
    <numFmt numFmtId="193" formatCode="_(* \(#,##0.00\);_(* #,##0.00_);_(* &quot;-&quot;_);_(@_)"/>
    <numFmt numFmtId="194" formatCode="_(* \(#,##0.000\);_(* #,##0.000_);_(* &quot;-&quot;_);_(@_)"/>
    <numFmt numFmtId="195" formatCode="#,##0.000000;[Red]#,##0.000000"/>
    <numFmt numFmtId="196" formatCode="_(* #,##0.000_);_(* \(#,##0.000\);_(* &quot;-&quot;???_);_(@_)"/>
    <numFmt numFmtId="197" formatCode="_-&quot;Ј&quot;* #,##0_-;\-&quot;Ј&quot;* #,##0_-;_-&quot;Ј&quot;* &quot;-&quot;_-;_-@_-"/>
    <numFmt numFmtId="198" formatCode="_-&quot;Ј&quot;* #,##0.00_-;\-&quot;Ј&quot;* #,##0.00_-;_-&quot;Ј&quot;* &quot;-&quot;??_-;_-@_-"/>
    <numFmt numFmtId="199" formatCode="_ * #,##0_ ;_ * \(#,##0_ ;_ * &quot;-&quot;_ ;_ @_ "/>
    <numFmt numFmtId="200" formatCode="&quot;$&quot;#,##0.000000;[Red]&quot;$&quot;#,##0.000000"/>
    <numFmt numFmtId="201" formatCode="#,##0.0000000_$"/>
    <numFmt numFmtId="202" formatCode="&quot;$&quot;\ #,##0.00"/>
    <numFmt numFmtId="203" formatCode="_ * #,##0_ ;_ * \(#,##0_)\ ;_ * &quot;-&quot;_ ;_ @_ "/>
    <numFmt numFmtId="204" formatCode="&quot;$&quot;\ #,##0"/>
    <numFmt numFmtId="205" formatCode="&quot;$&quot;"/>
    <numFmt numFmtId="206" formatCode="_._.* #,##0_)_%;_._.* \(#,##0\)_%;_._.* \ _)_%"/>
  </numFmts>
  <fonts count="6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9"/>
      <color indexed="8"/>
      <name val="Book Antiqua"/>
      <family val="1"/>
    </font>
    <font>
      <sz val="10"/>
      <name val="Arial"/>
      <family val="2"/>
    </font>
    <font>
      <b/>
      <sz val="9"/>
      <color indexed="8"/>
      <name val="Book Antiqua"/>
      <family val="1"/>
    </font>
    <font>
      <b/>
      <sz val="9"/>
      <name val="Book Antiqua"/>
      <family val="1"/>
    </font>
    <font>
      <i/>
      <sz val="9"/>
      <color indexed="8"/>
      <name val="Book Antiqua"/>
      <family val="1"/>
    </font>
    <font>
      <b/>
      <sz val="9"/>
      <color indexed="9"/>
      <name val="Book Antiqua"/>
      <family val="1"/>
    </font>
    <font>
      <b/>
      <sz val="9"/>
      <color indexed="55"/>
      <name val="Book Antiqua"/>
      <family val="1"/>
    </font>
    <font>
      <sz val="10"/>
      <name val="Helv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0"/>
      <name val="NTHarmonica"/>
      <family val="0"/>
    </font>
    <font>
      <sz val="12"/>
      <name val="Tms Rmn"/>
      <family val="0"/>
    </font>
    <font>
      <u val="single"/>
      <sz val="7"/>
      <color indexed="36"/>
      <name val="Arial"/>
      <family val="2"/>
    </font>
    <font>
      <u val="single"/>
      <sz val="9.6"/>
      <color indexed="12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sz val="8"/>
      <name val="Verdana"/>
      <family val="2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0.5">
          <color theme="4"/>
        </stop>
        <stop position="1">
          <color theme="0"/>
        </stop>
      </gradient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58">
    <border>
      <left/>
      <right/>
      <top/>
      <bottom/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medium"/>
      <right style="thin"/>
      <top/>
      <bottom style="dotted"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1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175" fontId="0" fillId="0" borderId="0">
      <alignment horizont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176" fontId="20" fillId="8" borderId="1">
      <alignment horizontal="center" vertical="center"/>
      <protection locked="0"/>
    </xf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1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1" fillId="0" borderId="0" applyFill="0" applyBorder="0" applyProtection="0">
      <alignment horizontal="center"/>
    </xf>
    <xf numFmtId="177" fontId="13" fillId="0" borderId="2" applyFont="0" applyFill="0" applyBorder="0" applyProtection="0">
      <alignment horizontal="center"/>
    </xf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22" fillId="0" borderId="0" applyFill="0" applyBorder="0" applyAlignment="0" applyProtection="0"/>
    <xf numFmtId="181" fontId="6" fillId="0" borderId="0" applyFill="0" applyBorder="0" applyProtection="0">
      <alignment/>
    </xf>
    <xf numFmtId="181" fontId="6" fillId="0" borderId="3" applyFill="0" applyProtection="0">
      <alignment/>
    </xf>
    <xf numFmtId="181" fontId="6" fillId="0" borderId="4" applyFill="0" applyProtection="0">
      <alignment/>
    </xf>
    <xf numFmtId="168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4" fontId="23" fillId="0" borderId="0" applyFont="0" applyBorder="0">
      <alignment vertical="top"/>
      <protection/>
    </xf>
    <xf numFmtId="183" fontId="6" fillId="0" borderId="0" applyFill="0" applyBorder="0" applyProtection="0">
      <alignment/>
    </xf>
    <xf numFmtId="183" fontId="6" fillId="0" borderId="3" applyFill="0" applyProtection="0">
      <alignment/>
    </xf>
    <xf numFmtId="183" fontId="6" fillId="0" borderId="4" applyFill="0" applyProtection="0">
      <alignment/>
    </xf>
    <xf numFmtId="184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Fill="0" applyAlignment="0" applyProtection="0"/>
    <xf numFmtId="0" fontId="21" fillId="0" borderId="5" applyFill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187" fontId="13" fillId="20" borderId="6">
      <alignment/>
      <protection locked="0"/>
    </xf>
    <xf numFmtId="187" fontId="13" fillId="21" borderId="6">
      <alignment vertical="center"/>
      <protection/>
    </xf>
    <xf numFmtId="0" fontId="13" fillId="0" borderId="0">
      <alignment/>
      <protection/>
    </xf>
    <xf numFmtId="0" fontId="19" fillId="0" borderId="0">
      <alignment/>
      <protection/>
    </xf>
    <xf numFmtId="188" fontId="13" fillId="0" borderId="0" applyFont="0" applyFill="0" applyBorder="0" applyAlignment="0" applyProtection="0"/>
    <xf numFmtId="189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0" fontId="13" fillId="22" borderId="7" applyNumberFormat="0" applyFont="0" applyFill="0" applyBorder="0" applyAlignment="0" applyProtection="0"/>
    <xf numFmtId="187" fontId="27" fillId="21" borderId="6">
      <alignment horizontal="center" vertical="center" wrapText="1"/>
      <protection locked="0"/>
    </xf>
    <xf numFmtId="0" fontId="13" fillId="0" borderId="0">
      <alignment vertical="center"/>
      <protection/>
    </xf>
    <xf numFmtId="196" fontId="13" fillId="23" borderId="6">
      <alignment vertical="center"/>
      <protection/>
    </xf>
    <xf numFmtId="0" fontId="13" fillId="0" borderId="0">
      <alignment/>
      <protection/>
    </xf>
    <xf numFmtId="0" fontId="13" fillId="22" borderId="0">
      <alignment/>
      <protection/>
    </xf>
    <xf numFmtId="0" fontId="13" fillId="22" borderId="0">
      <alignment/>
      <protection/>
    </xf>
    <xf numFmtId="187" fontId="28" fillId="24" borderId="8">
      <alignment horizontal="center" vertical="center"/>
      <protection/>
    </xf>
    <xf numFmtId="197" fontId="13" fillId="0" borderId="0" applyFont="0" applyFill="0" applyBorder="0" applyAlignment="0" applyProtection="0"/>
    <xf numFmtId="198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204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206" fontId="13" fillId="0" borderId="0" applyFont="0" applyFill="0" applyBorder="0" applyAlignment="0" applyProtection="0"/>
    <xf numFmtId="187" fontId="13" fillId="25" borderId="6" applyNumberFormat="0" applyFill="0" applyBorder="0" applyProtection="0">
      <alignment vertical="center"/>
    </xf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32" borderId="9" applyNumberFormat="0" applyAlignment="0" applyProtection="0"/>
    <xf numFmtId="0" fontId="50" fillId="33" borderId="10" applyNumberFormat="0" applyAlignment="0" applyProtection="0"/>
    <xf numFmtId="0" fontId="51" fillId="33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4" fillId="0" borderId="13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4" applyNumberFormat="0" applyFill="0" applyAlignment="0" applyProtection="0"/>
    <xf numFmtId="0" fontId="56" fillId="34" borderId="15" applyNumberFormat="0" applyAlignment="0" applyProtection="0"/>
    <xf numFmtId="0" fontId="57" fillId="0" borderId="0" applyNumberFormat="0" applyFill="0" applyBorder="0" applyAlignment="0" applyProtection="0"/>
    <xf numFmtId="0" fontId="58" fillId="35" borderId="0" applyNumberFormat="0" applyBorder="0" applyAlignment="0" applyProtection="0"/>
    <xf numFmtId="0" fontId="13" fillId="0" borderId="0">
      <alignment/>
      <protection/>
    </xf>
    <xf numFmtId="0" fontId="47" fillId="0" borderId="0">
      <alignment/>
      <protection/>
    </xf>
    <xf numFmtId="0" fontId="13" fillId="0" borderId="0">
      <alignment/>
      <protection/>
    </xf>
    <xf numFmtId="0" fontId="59" fillId="36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7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17" applyNumberFormat="0" applyFill="0" applyAlignment="0" applyProtection="0"/>
    <xf numFmtId="0" fontId="13" fillId="0" borderId="0">
      <alignment/>
      <protection/>
    </xf>
    <xf numFmtId="3" fontId="29" fillId="38" borderId="0">
      <alignment horizontal="right" vertical="center" indent="1"/>
      <protection/>
    </xf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3" fontId="30" fillId="0" borderId="18" applyFont="0" applyBorder="0">
      <alignment horizontal="right"/>
      <protection locked="0"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9" borderId="0" applyNumberFormat="0" applyBorder="0" applyAlignment="0" applyProtection="0"/>
  </cellStyleXfs>
  <cellXfs count="262">
    <xf numFmtId="0" fontId="0" fillId="0" borderId="0" xfId="0" applyAlignment="1">
      <alignment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6" xfId="0" applyBorder="1" applyAlignment="1">
      <alignment/>
    </xf>
    <xf numFmtId="2" fontId="0" fillId="0" borderId="6" xfId="0" applyNumberFormat="1" applyBorder="1" applyAlignment="1">
      <alignment horizontal="center"/>
    </xf>
    <xf numFmtId="17" fontId="0" fillId="0" borderId="6" xfId="0" applyNumberForma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7" fontId="6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17" fontId="10" fillId="0" borderId="6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/>
    </xf>
    <xf numFmtId="2" fontId="6" fillId="0" borderId="6" xfId="0" applyNumberFormat="1" applyFont="1" applyBorder="1" applyAlignment="1">
      <alignment/>
    </xf>
    <xf numFmtId="2" fontId="6" fillId="0" borderId="6" xfId="0" applyNumberFormat="1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17" fontId="5" fillId="0" borderId="6" xfId="0" applyNumberFormat="1" applyFont="1" applyBorder="1" applyAlignment="1">
      <alignment horizontal="center"/>
    </xf>
    <xf numFmtId="0" fontId="12" fillId="40" borderId="0" xfId="177" applyFont="1" applyFill="1" applyBorder="1" applyAlignment="1">
      <alignment horizontal="center" vertical="center"/>
      <protection/>
    </xf>
    <xf numFmtId="0" fontId="12" fillId="40" borderId="0" xfId="177" applyFont="1" applyFill="1" applyBorder="1" applyAlignment="1">
      <alignment horizontal="left" vertical="center" wrapText="1"/>
      <protection/>
    </xf>
    <xf numFmtId="0" fontId="14" fillId="40" borderId="0" xfId="177" applyFont="1" applyFill="1" applyBorder="1" applyAlignment="1">
      <alignment horizontal="left" vertical="center" wrapText="1"/>
      <protection/>
    </xf>
    <xf numFmtId="0" fontId="14" fillId="40" borderId="0" xfId="177" applyFont="1" applyFill="1" applyBorder="1" applyAlignment="1">
      <alignment horizontal="center" vertical="center" wrapText="1"/>
      <protection/>
    </xf>
    <xf numFmtId="0" fontId="14" fillId="22" borderId="21" xfId="177" applyFont="1" applyFill="1" applyBorder="1" applyAlignment="1">
      <alignment horizontal="right" vertical="center" wrapText="1" indent="1"/>
      <protection/>
    </xf>
    <xf numFmtId="1" fontId="14" fillId="22" borderId="22" xfId="177" applyNumberFormat="1" applyFont="1" applyFill="1" applyBorder="1" applyAlignment="1">
      <alignment horizontal="center" vertical="center" wrapText="1"/>
      <protection/>
    </xf>
    <xf numFmtId="1" fontId="14" fillId="41" borderId="22" xfId="177" applyNumberFormat="1" applyFont="1" applyFill="1" applyBorder="1" applyAlignment="1">
      <alignment horizontal="center" vertical="center" wrapText="1"/>
      <protection/>
    </xf>
    <xf numFmtId="0" fontId="14" fillId="22" borderId="23" xfId="177" applyFont="1" applyFill="1" applyBorder="1" applyAlignment="1">
      <alignment horizontal="right" vertical="center" wrapText="1" indent="1"/>
      <protection/>
    </xf>
    <xf numFmtId="173" fontId="14" fillId="22" borderId="24" xfId="177" applyNumberFormat="1" applyFont="1" applyFill="1" applyBorder="1" applyAlignment="1">
      <alignment horizontal="center" vertical="center" wrapText="1"/>
      <protection/>
    </xf>
    <xf numFmtId="1" fontId="14" fillId="41" borderId="24" xfId="177" applyNumberFormat="1" applyFont="1" applyFill="1" applyBorder="1" applyAlignment="1">
      <alignment horizontal="center" vertical="center" wrapText="1"/>
      <protection/>
    </xf>
    <xf numFmtId="173" fontId="14" fillId="40" borderId="0" xfId="177" applyNumberFormat="1" applyFont="1" applyFill="1" applyBorder="1" applyAlignment="1">
      <alignment horizontal="center" vertical="center"/>
      <protection/>
    </xf>
    <xf numFmtId="173" fontId="16" fillId="40" borderId="0" xfId="177" applyNumberFormat="1" applyFont="1" applyFill="1" applyBorder="1" applyAlignment="1">
      <alignment horizontal="right" vertical="center" indent="1"/>
      <protection/>
    </xf>
    <xf numFmtId="1" fontId="14" fillId="40" borderId="0" xfId="177" applyNumberFormat="1" applyFont="1" applyFill="1" applyBorder="1" applyAlignment="1">
      <alignment horizontal="center" vertical="center"/>
      <protection/>
    </xf>
    <xf numFmtId="173" fontId="14" fillId="40" borderId="0" xfId="177" applyNumberFormat="1" applyFont="1" applyFill="1" applyBorder="1">
      <alignment/>
      <protection/>
    </xf>
    <xf numFmtId="49" fontId="17" fillId="42" borderId="0" xfId="177" applyNumberFormat="1" applyFont="1" applyFill="1" applyBorder="1" applyAlignment="1">
      <alignment horizontal="left" vertical="center"/>
      <protection/>
    </xf>
    <xf numFmtId="0" fontId="17" fillId="43" borderId="0" xfId="177" applyFont="1" applyFill="1" applyBorder="1" applyAlignment="1">
      <alignment horizontal="left" vertical="center"/>
      <protection/>
    </xf>
    <xf numFmtId="0" fontId="14" fillId="40" borderId="0" xfId="177" applyFont="1" applyFill="1" applyBorder="1" applyAlignment="1">
      <alignment horizontal="center"/>
      <protection/>
    </xf>
    <xf numFmtId="0" fontId="14" fillId="22" borderId="21" xfId="177" applyFont="1" applyFill="1" applyBorder="1" applyAlignment="1">
      <alignment horizontal="center" vertical="center" wrapText="1"/>
      <protection/>
    </xf>
    <xf numFmtId="0" fontId="14" fillId="40" borderId="0" xfId="177" applyFont="1" applyFill="1" applyBorder="1" applyAlignment="1">
      <alignment horizontal="center" vertical="center"/>
      <protection/>
    </xf>
    <xf numFmtId="3" fontId="14" fillId="22" borderId="25" xfId="177" applyNumberFormat="1" applyFont="1" applyFill="1" applyBorder="1" applyAlignment="1">
      <alignment horizontal="right" vertical="center"/>
      <protection/>
    </xf>
    <xf numFmtId="3" fontId="14" fillId="41" borderId="25" xfId="177" applyNumberFormat="1" applyFont="1" applyFill="1" applyBorder="1" applyAlignment="1">
      <alignment horizontal="right" vertical="center"/>
      <protection/>
    </xf>
    <xf numFmtId="0" fontId="14" fillId="40" borderId="0" xfId="177" applyFont="1" applyFill="1" applyBorder="1">
      <alignment/>
      <protection/>
    </xf>
    <xf numFmtId="0" fontId="12" fillId="40" borderId="26" xfId="177" applyFont="1" applyFill="1" applyBorder="1" applyAlignment="1">
      <alignment horizontal="left" vertical="center" wrapText="1" indent="1"/>
      <protection/>
    </xf>
    <xf numFmtId="3" fontId="12" fillId="40" borderId="25" xfId="177" applyNumberFormat="1" applyFont="1" applyFill="1" applyBorder="1" applyAlignment="1">
      <alignment horizontal="right" vertical="center"/>
      <protection/>
    </xf>
    <xf numFmtId="3" fontId="14" fillId="40" borderId="25" xfId="177" applyNumberFormat="1" applyFont="1" applyFill="1" applyBorder="1" applyAlignment="1">
      <alignment horizontal="right" vertical="center"/>
      <protection/>
    </xf>
    <xf numFmtId="0" fontId="12" fillId="40" borderId="26" xfId="177" applyFont="1" applyFill="1" applyBorder="1" applyAlignment="1">
      <alignment horizontal="left" vertical="center" wrapText="1" indent="2"/>
      <protection/>
    </xf>
    <xf numFmtId="0" fontId="12" fillId="40" borderId="0" xfId="177" applyFont="1" applyFill="1" applyBorder="1">
      <alignment/>
      <protection/>
    </xf>
    <xf numFmtId="3" fontId="12" fillId="41" borderId="25" xfId="177" applyNumberFormat="1" applyFont="1" applyFill="1" applyBorder="1" applyAlignment="1">
      <alignment horizontal="right" vertical="center"/>
      <protection/>
    </xf>
    <xf numFmtId="3" fontId="14" fillId="41" borderId="24" xfId="177" applyNumberFormat="1" applyFont="1" applyFill="1" applyBorder="1" applyAlignment="1">
      <alignment horizontal="right" vertical="center"/>
      <protection/>
    </xf>
    <xf numFmtId="3" fontId="12" fillId="40" borderId="0" xfId="177" applyNumberFormat="1" applyFont="1" applyFill="1" applyBorder="1" applyAlignment="1">
      <alignment horizontal="right" vertical="center" wrapText="1"/>
      <protection/>
    </xf>
    <xf numFmtId="3" fontId="14" fillId="40" borderId="0" xfId="177" applyNumberFormat="1" applyFont="1" applyFill="1" applyBorder="1" applyAlignment="1">
      <alignment horizontal="right" vertical="center" wrapText="1"/>
      <protection/>
    </xf>
    <xf numFmtId="0" fontId="14" fillId="22" borderId="21" xfId="177" applyFont="1" applyFill="1" applyBorder="1" applyAlignment="1">
      <alignment horizontal="left" vertical="center" wrapText="1"/>
      <protection/>
    </xf>
    <xf numFmtId="174" fontId="14" fillId="41" borderId="25" xfId="177" applyNumberFormat="1" applyFont="1" applyFill="1" applyBorder="1" applyAlignment="1">
      <alignment horizontal="center" vertical="center"/>
      <protection/>
    </xf>
    <xf numFmtId="174" fontId="14" fillId="41" borderId="25" xfId="177" applyNumberFormat="1" applyFont="1" applyFill="1" applyBorder="1" applyAlignment="1">
      <alignment horizontal="center" vertical="center" wrapText="1"/>
      <protection/>
    </xf>
    <xf numFmtId="3" fontId="14" fillId="40" borderId="0" xfId="177" applyNumberFormat="1" applyFont="1" applyFill="1" applyBorder="1" applyAlignment="1">
      <alignment horizontal="center" vertical="center"/>
      <protection/>
    </xf>
    <xf numFmtId="3" fontId="14" fillId="22" borderId="26" xfId="177" applyNumberFormat="1" applyFont="1" applyFill="1" applyBorder="1" applyAlignment="1">
      <alignment horizontal="left" vertical="center" wrapText="1"/>
      <protection/>
    </xf>
    <xf numFmtId="3" fontId="14" fillId="22" borderId="27" xfId="177" applyNumberFormat="1" applyFont="1" applyFill="1" applyBorder="1" applyAlignment="1">
      <alignment horizontal="right" vertical="center"/>
      <protection/>
    </xf>
    <xf numFmtId="3" fontId="14" fillId="22" borderId="28" xfId="177" applyNumberFormat="1" applyFont="1" applyFill="1" applyBorder="1" applyAlignment="1">
      <alignment horizontal="right" vertical="center"/>
      <protection/>
    </xf>
    <xf numFmtId="3" fontId="14" fillId="22" borderId="26" xfId="177" applyNumberFormat="1" applyFont="1" applyFill="1" applyBorder="1" applyAlignment="1">
      <alignment horizontal="right" vertical="center"/>
      <protection/>
    </xf>
    <xf numFmtId="3" fontId="14" fillId="40" borderId="0" xfId="177" applyNumberFormat="1" applyFont="1" applyFill="1" applyBorder="1">
      <alignment/>
      <protection/>
    </xf>
    <xf numFmtId="3" fontId="12" fillId="40" borderId="0" xfId="177" applyNumberFormat="1" applyFont="1" applyFill="1" applyBorder="1" applyAlignment="1">
      <alignment horizontal="center" vertical="center"/>
      <protection/>
    </xf>
    <xf numFmtId="3" fontId="12" fillId="40" borderId="26" xfId="177" applyNumberFormat="1" applyFont="1" applyFill="1" applyBorder="1" applyAlignment="1">
      <alignment horizontal="left" vertical="center" wrapText="1"/>
      <protection/>
    </xf>
    <xf numFmtId="3" fontId="12" fillId="40" borderId="27" xfId="177" applyNumberFormat="1" applyFont="1" applyFill="1" applyBorder="1" applyAlignment="1">
      <alignment horizontal="right" vertical="center"/>
      <protection/>
    </xf>
    <xf numFmtId="3" fontId="12" fillId="40" borderId="28" xfId="177" applyNumberFormat="1" applyFont="1" applyFill="1" applyBorder="1" applyAlignment="1">
      <alignment horizontal="right" vertical="center"/>
      <protection/>
    </xf>
    <xf numFmtId="3" fontId="12" fillId="40" borderId="26" xfId="177" applyNumberFormat="1" applyFont="1" applyFill="1" applyBorder="1" applyAlignment="1">
      <alignment horizontal="right" vertical="center"/>
      <protection/>
    </xf>
    <xf numFmtId="3" fontId="14" fillId="40" borderId="27" xfId="177" applyNumberFormat="1" applyFont="1" applyFill="1" applyBorder="1" applyAlignment="1">
      <alignment horizontal="right" vertical="center"/>
      <protection/>
    </xf>
    <xf numFmtId="3" fontId="14" fillId="40" borderId="28" xfId="177" applyNumberFormat="1" applyFont="1" applyFill="1" applyBorder="1" applyAlignment="1">
      <alignment horizontal="right" vertical="center"/>
      <protection/>
    </xf>
    <xf numFmtId="3" fontId="14" fillId="40" borderId="26" xfId="177" applyNumberFormat="1" applyFont="1" applyFill="1" applyBorder="1" applyAlignment="1">
      <alignment horizontal="right" vertical="center"/>
      <protection/>
    </xf>
    <xf numFmtId="3" fontId="12" fillId="40" borderId="0" xfId="177" applyNumberFormat="1" applyFont="1" applyFill="1" applyBorder="1">
      <alignment/>
      <protection/>
    </xf>
    <xf numFmtId="3" fontId="14" fillId="41" borderId="27" xfId="177" applyNumberFormat="1" applyFont="1" applyFill="1" applyBorder="1" applyAlignment="1">
      <alignment horizontal="right" vertical="center"/>
      <protection/>
    </xf>
    <xf numFmtId="3" fontId="14" fillId="41" borderId="28" xfId="177" applyNumberFormat="1" applyFont="1" applyFill="1" applyBorder="1" applyAlignment="1">
      <alignment horizontal="right" vertical="center"/>
      <protection/>
    </xf>
    <xf numFmtId="3" fontId="14" fillId="41" borderId="26" xfId="177" applyNumberFormat="1" applyFont="1" applyFill="1" applyBorder="1" applyAlignment="1">
      <alignment horizontal="right" vertical="center"/>
      <protection/>
    </xf>
    <xf numFmtId="3" fontId="18" fillId="41" borderId="27" xfId="177" applyNumberFormat="1" applyFont="1" applyFill="1" applyBorder="1" applyAlignment="1">
      <alignment horizontal="right" vertical="center"/>
      <protection/>
    </xf>
    <xf numFmtId="3" fontId="18" fillId="41" borderId="28" xfId="177" applyNumberFormat="1" applyFont="1" applyFill="1" applyBorder="1" applyAlignment="1">
      <alignment horizontal="right" vertical="center"/>
      <protection/>
    </xf>
    <xf numFmtId="3" fontId="18" fillId="41" borderId="26" xfId="177" applyNumberFormat="1" applyFont="1" applyFill="1" applyBorder="1" applyAlignment="1">
      <alignment horizontal="right" vertical="center"/>
      <protection/>
    </xf>
    <xf numFmtId="0" fontId="14" fillId="22" borderId="23" xfId="177" applyFont="1" applyFill="1" applyBorder="1" applyAlignment="1">
      <alignment horizontal="left" vertical="center" wrapText="1"/>
      <protection/>
    </xf>
    <xf numFmtId="3" fontId="14" fillId="22" borderId="24" xfId="177" applyNumberFormat="1" applyFont="1" applyFill="1" applyBorder="1" applyAlignment="1">
      <alignment horizontal="right" vertical="center"/>
      <protection/>
    </xf>
    <xf numFmtId="3" fontId="14" fillId="22" borderId="29" xfId="177" applyNumberFormat="1" applyFont="1" applyFill="1" applyBorder="1" applyAlignment="1">
      <alignment horizontal="right" vertical="center"/>
      <protection/>
    </xf>
    <xf numFmtId="3" fontId="14" fillId="22" borderId="30" xfId="177" applyNumberFormat="1" applyFont="1" applyFill="1" applyBorder="1" applyAlignment="1">
      <alignment horizontal="right" vertical="center"/>
      <protection/>
    </xf>
    <xf numFmtId="3" fontId="14" fillId="22" borderId="23" xfId="177" applyNumberFormat="1" applyFont="1" applyFill="1" applyBorder="1" applyAlignment="1">
      <alignment horizontal="right" vertical="center"/>
      <protection/>
    </xf>
    <xf numFmtId="49" fontId="15" fillId="40" borderId="0" xfId="175" applyNumberFormat="1" applyFont="1" applyFill="1" applyBorder="1" applyAlignment="1">
      <alignment horizontal="left" vertical="center" wrapText="1"/>
      <protection/>
    </xf>
    <xf numFmtId="49" fontId="14" fillId="40" borderId="0" xfId="175" applyNumberFormat="1" applyFont="1" applyFill="1" applyBorder="1" applyAlignment="1">
      <alignment horizontal="left" vertical="center" wrapText="1"/>
      <protection/>
    </xf>
    <xf numFmtId="0" fontId="14" fillId="41" borderId="26" xfId="175" applyFont="1" applyFill="1" applyBorder="1" applyAlignment="1">
      <alignment horizontal="left" vertical="center" wrapText="1"/>
      <protection/>
    </xf>
    <xf numFmtId="3" fontId="14" fillId="41" borderId="25" xfId="175" applyNumberFormat="1" applyFont="1" applyFill="1" applyBorder="1" applyAlignment="1">
      <alignment horizontal="right" vertical="center" wrapText="1"/>
      <protection/>
    </xf>
    <xf numFmtId="0" fontId="14" fillId="22" borderId="26" xfId="175" applyFont="1" applyFill="1" applyBorder="1" applyAlignment="1">
      <alignment horizontal="left" vertical="center" wrapText="1"/>
      <protection/>
    </xf>
    <xf numFmtId="3" fontId="12" fillId="41" borderId="25" xfId="175" applyNumberFormat="1" applyFont="1" applyFill="1" applyBorder="1" applyAlignment="1">
      <alignment horizontal="right" vertical="center" wrapText="1"/>
      <protection/>
    </xf>
    <xf numFmtId="49" fontId="14" fillId="22" borderId="26" xfId="175" applyNumberFormat="1" applyFont="1" applyFill="1" applyBorder="1" applyAlignment="1">
      <alignment horizontal="left" vertical="center" wrapText="1"/>
      <protection/>
    </xf>
    <xf numFmtId="49" fontId="14" fillId="40" borderId="26" xfId="175" applyNumberFormat="1" applyFont="1" applyFill="1" applyBorder="1" applyAlignment="1">
      <alignment horizontal="left" vertical="center" wrapText="1" indent="1"/>
      <protection/>
    </xf>
    <xf numFmtId="49" fontId="12" fillId="40" borderId="26" xfId="175" applyNumberFormat="1" applyFont="1" applyFill="1" applyBorder="1" applyAlignment="1">
      <alignment horizontal="left" vertical="center" wrapText="1" indent="2"/>
      <protection/>
    </xf>
    <xf numFmtId="49" fontId="12" fillId="40" borderId="26" xfId="175" applyNumberFormat="1" applyFont="1" applyFill="1" applyBorder="1" applyAlignment="1">
      <alignment horizontal="left" vertical="center" wrapText="1" indent="3"/>
      <protection/>
    </xf>
    <xf numFmtId="49" fontId="12" fillId="40" borderId="26" xfId="175" applyNumberFormat="1" applyFont="1" applyFill="1" applyBorder="1" applyAlignment="1">
      <alignment horizontal="left" vertical="center" wrapText="1" indent="1"/>
      <protection/>
    </xf>
    <xf numFmtId="49" fontId="14" fillId="22" borderId="26" xfId="175" applyNumberFormat="1" applyFont="1" applyFill="1" applyBorder="1" applyAlignment="1">
      <alignment horizontal="left" vertical="center"/>
      <protection/>
    </xf>
    <xf numFmtId="0" fontId="14" fillId="0" borderId="0" xfId="175" applyFont="1">
      <alignment/>
      <protection/>
    </xf>
    <xf numFmtId="49" fontId="12" fillId="40" borderId="26" xfId="175" applyNumberFormat="1" applyFont="1" applyFill="1" applyBorder="1" applyAlignment="1">
      <alignment horizontal="left" vertical="center" indent="1"/>
      <protection/>
    </xf>
    <xf numFmtId="0" fontId="12" fillId="0" borderId="0" xfId="175" applyFont="1">
      <alignment/>
      <protection/>
    </xf>
    <xf numFmtId="49" fontId="14" fillId="41" borderId="26" xfId="175" applyNumberFormat="1" applyFont="1" applyFill="1" applyBorder="1" applyAlignment="1">
      <alignment horizontal="left" vertical="center"/>
      <protection/>
    </xf>
    <xf numFmtId="49" fontId="14" fillId="41" borderId="23" xfId="175" applyNumberFormat="1" applyFont="1" applyFill="1" applyBorder="1" applyAlignment="1">
      <alignment horizontal="left" vertical="center"/>
      <protection/>
    </xf>
    <xf numFmtId="3" fontId="14" fillId="41" borderId="24" xfId="175" applyNumberFormat="1" applyFont="1" applyFill="1" applyBorder="1" applyAlignment="1">
      <alignment horizontal="right" vertical="center" wrapText="1"/>
      <protection/>
    </xf>
    <xf numFmtId="0" fontId="12" fillId="40" borderId="0" xfId="175" applyFont="1" applyFill="1" applyBorder="1">
      <alignment/>
      <protection/>
    </xf>
    <xf numFmtId="0" fontId="14" fillId="40" borderId="0" xfId="175" applyFont="1" applyFill="1" applyBorder="1">
      <alignment/>
      <protection/>
    </xf>
    <xf numFmtId="1" fontId="14" fillId="41" borderId="25" xfId="175" applyNumberFormat="1" applyFont="1" applyFill="1" applyBorder="1" applyAlignment="1">
      <alignment horizontal="center"/>
      <protection/>
    </xf>
    <xf numFmtId="3" fontId="14" fillId="41" borderId="26" xfId="175" applyNumberFormat="1" applyFont="1" applyFill="1" applyBorder="1" applyAlignment="1">
      <alignment horizontal="left" vertical="center" wrapText="1"/>
      <protection/>
    </xf>
    <xf numFmtId="49" fontId="12" fillId="40" borderId="26" xfId="175" applyNumberFormat="1" applyFont="1" applyFill="1" applyBorder="1" applyAlignment="1">
      <alignment horizontal="left" vertical="center" wrapText="1"/>
      <protection/>
    </xf>
    <xf numFmtId="3" fontId="17" fillId="40" borderId="25" xfId="177" applyNumberFormat="1" applyFont="1" applyFill="1" applyBorder="1" applyAlignment="1">
      <alignment horizontal="right" vertical="center"/>
      <protection/>
    </xf>
    <xf numFmtId="2" fontId="5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31" xfId="0" applyFont="1" applyBorder="1" applyAlignment="1">
      <alignment horizontal="center" vertical="top"/>
    </xf>
    <xf numFmtId="0" fontId="6" fillId="0" borderId="32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33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0" fontId="5" fillId="0" borderId="32" xfId="0" applyFont="1" applyBorder="1" applyAlignment="1">
      <alignment horizontal="center" vertical="top"/>
    </xf>
    <xf numFmtId="0" fontId="5" fillId="0" borderId="33" xfId="0" applyFont="1" applyBorder="1" applyAlignment="1">
      <alignment horizontal="center" vertical="top"/>
    </xf>
    <xf numFmtId="0" fontId="5" fillId="0" borderId="6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6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6" fillId="0" borderId="34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5" xfId="0" applyBorder="1" applyAlignment="1">
      <alignment/>
    </xf>
    <xf numFmtId="0" fontId="0" fillId="0" borderId="33" xfId="0" applyBorder="1" applyAlignment="1">
      <alignment/>
    </xf>
    <xf numFmtId="2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6" xfId="0" applyBorder="1" applyAlignment="1">
      <alignment horizontal="left"/>
    </xf>
    <xf numFmtId="2" fontId="2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6" fillId="0" borderId="32" xfId="0" applyFont="1" applyBorder="1" applyAlignment="1">
      <alignment horizontal="center"/>
    </xf>
    <xf numFmtId="172" fontId="2" fillId="0" borderId="19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172" fontId="0" fillId="0" borderId="6" xfId="0" applyNumberForma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5" fillId="0" borderId="36" xfId="0" applyFont="1" applyBorder="1" applyAlignment="1">
      <alignment horizontal="center" vertical="top"/>
    </xf>
    <xf numFmtId="0" fontId="8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1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4" fillId="0" borderId="46" xfId="0" applyFont="1" applyBorder="1" applyAlignment="1">
      <alignment horizontal="center" vertical="top"/>
    </xf>
    <xf numFmtId="0" fontId="4" fillId="0" borderId="47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top"/>
    </xf>
    <xf numFmtId="0" fontId="4" fillId="0" borderId="33" xfId="0" applyFont="1" applyBorder="1" applyAlignment="1">
      <alignment horizontal="center" vertical="top"/>
    </xf>
    <xf numFmtId="2" fontId="5" fillId="0" borderId="34" xfId="0" applyNumberFormat="1" applyFont="1" applyBorder="1" applyAlignment="1">
      <alignment horizontal="center"/>
    </xf>
    <xf numFmtId="2" fontId="5" fillId="0" borderId="36" xfId="0" applyNumberFormat="1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46" xfId="0" applyFont="1" applyBorder="1" applyAlignment="1">
      <alignment horizontal="center" vertical="top"/>
    </xf>
    <xf numFmtId="0" fontId="10" fillId="0" borderId="51" xfId="0" applyFont="1" applyBorder="1" applyAlignment="1">
      <alignment horizontal="center" vertical="top"/>
    </xf>
    <xf numFmtId="0" fontId="10" fillId="0" borderId="47" xfId="0" applyFont="1" applyBorder="1" applyAlignment="1">
      <alignment horizontal="center" vertical="top"/>
    </xf>
    <xf numFmtId="0" fontId="10" fillId="0" borderId="32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0" borderId="33" xfId="0" applyFont="1" applyBorder="1" applyAlignment="1">
      <alignment horizontal="center" vertical="top"/>
    </xf>
    <xf numFmtId="0" fontId="10" fillId="0" borderId="20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10" fillId="0" borderId="6" xfId="0" applyFont="1" applyBorder="1" applyAlignment="1">
      <alignment horizont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2" fontId="5" fillId="0" borderId="55" xfId="0" applyNumberFormat="1" applyFont="1" applyBorder="1" applyAlignment="1">
      <alignment horizontal="center"/>
    </xf>
    <xf numFmtId="2" fontId="5" fillId="0" borderId="56" xfId="0" applyNumberFormat="1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5" fillId="0" borderId="37" xfId="0" applyFont="1" applyBorder="1" applyAlignment="1">
      <alignment horizontal="right" vertical="center"/>
    </xf>
    <xf numFmtId="0" fontId="5" fillId="0" borderId="38" xfId="0" applyFont="1" applyBorder="1" applyAlignment="1">
      <alignment horizontal="right" vertical="center"/>
    </xf>
    <xf numFmtId="0" fontId="5" fillId="0" borderId="39" xfId="0" applyFont="1" applyBorder="1" applyAlignment="1">
      <alignment horizontal="right" vertical="center"/>
    </xf>
  </cellXfs>
  <cellStyles count="180">
    <cellStyle name="Normal" xfId="0"/>
    <cellStyle name="_FFF" xfId="15"/>
    <cellStyle name="_FFF_New Form10_2" xfId="16"/>
    <cellStyle name="_FFF_Nsi" xfId="17"/>
    <cellStyle name="_FFF_Nsi_1" xfId="18"/>
    <cellStyle name="_FFF_Nsi_139" xfId="19"/>
    <cellStyle name="_FFF_Nsi_140" xfId="20"/>
    <cellStyle name="_FFF_Nsi_140(Зах)" xfId="21"/>
    <cellStyle name="_FFF_Nsi_140_mod" xfId="22"/>
    <cellStyle name="_FFF_Summary" xfId="23"/>
    <cellStyle name="_FFF_Tax_form_1кв_3" xfId="24"/>
    <cellStyle name="_FFF_БКЭ" xfId="25"/>
    <cellStyle name="_Final_Book_010301" xfId="26"/>
    <cellStyle name="_Final_Book_010301_New Form10_2" xfId="27"/>
    <cellStyle name="_Final_Book_010301_Nsi" xfId="28"/>
    <cellStyle name="_Final_Book_010301_Nsi_1" xfId="29"/>
    <cellStyle name="_Final_Book_010301_Nsi_139" xfId="30"/>
    <cellStyle name="_Final_Book_010301_Nsi_140" xfId="31"/>
    <cellStyle name="_Final_Book_010301_Nsi_140(Зах)" xfId="32"/>
    <cellStyle name="_Final_Book_010301_Nsi_140_mod" xfId="33"/>
    <cellStyle name="_Final_Book_010301_Summary" xfId="34"/>
    <cellStyle name="_Final_Book_010301_Tax_form_1кв_3" xfId="35"/>
    <cellStyle name="_Final_Book_010301_БКЭ" xfId="36"/>
    <cellStyle name="_Financial Model new" xfId="37"/>
    <cellStyle name="_New_Sofi" xfId="38"/>
    <cellStyle name="_New_Sofi_FFF" xfId="39"/>
    <cellStyle name="_New_Sofi_New Form10_2" xfId="40"/>
    <cellStyle name="_New_Sofi_Nsi" xfId="41"/>
    <cellStyle name="_New_Sofi_Nsi_1" xfId="42"/>
    <cellStyle name="_New_Sofi_Nsi_139" xfId="43"/>
    <cellStyle name="_New_Sofi_Nsi_140" xfId="44"/>
    <cellStyle name="_New_Sofi_Nsi_140(Зах)" xfId="45"/>
    <cellStyle name="_New_Sofi_Nsi_140_mod" xfId="46"/>
    <cellStyle name="_New_Sofi_Summary" xfId="47"/>
    <cellStyle name="_New_Sofi_Tax_form_1кв_3" xfId="48"/>
    <cellStyle name="_New_Sofi_БКЭ" xfId="49"/>
    <cellStyle name="_Nsi" xfId="50"/>
    <cellStyle name="_Книга3" xfId="51"/>
    <cellStyle name="_Книга3_New Form10_2" xfId="52"/>
    <cellStyle name="_Книга3_Nsi" xfId="53"/>
    <cellStyle name="_Книга3_Nsi_1" xfId="54"/>
    <cellStyle name="_Книга3_Nsi_139" xfId="55"/>
    <cellStyle name="_Книга3_Nsi_140" xfId="56"/>
    <cellStyle name="_Книга3_Nsi_140(Зах)" xfId="57"/>
    <cellStyle name="_Книга3_Nsi_140_mod" xfId="58"/>
    <cellStyle name="_Книга3_Summary" xfId="59"/>
    <cellStyle name="_Книга3_Tax_form_1кв_3" xfId="60"/>
    <cellStyle name="_Книга3_БКЭ" xfId="61"/>
    <cellStyle name="_Книга7" xfId="62"/>
    <cellStyle name="_Книга7_New Form10_2" xfId="63"/>
    <cellStyle name="_Книга7_Nsi" xfId="64"/>
    <cellStyle name="_Книга7_Nsi_1" xfId="65"/>
    <cellStyle name="_Книга7_Nsi_139" xfId="66"/>
    <cellStyle name="_Книга7_Nsi_140" xfId="67"/>
    <cellStyle name="_Книга7_Nsi_140(Зах)" xfId="68"/>
    <cellStyle name="_Книга7_Nsi_140_mod" xfId="69"/>
    <cellStyle name="_Книга7_Summary" xfId="70"/>
    <cellStyle name="_Книга7_Tax_form_1кв_3" xfId="71"/>
    <cellStyle name="_Книга7_БКЭ" xfId="72"/>
    <cellStyle name="_Копия FOT_BP_JR41_(2)" xfId="73"/>
    <cellStyle name="_Приложение 1" xfId="74"/>
    <cellStyle name="_ФОТ БП JR41" xfId="75"/>
    <cellStyle name="0,00;0;" xfId="76"/>
    <cellStyle name="20% - Акцент1" xfId="77"/>
    <cellStyle name="20% - Акцент2" xfId="78"/>
    <cellStyle name="20% - Акцент3" xfId="79"/>
    <cellStyle name="20% - Акцент4" xfId="80"/>
    <cellStyle name="20% - Акцент5" xfId="81"/>
    <cellStyle name="20% - Акцент6" xfId="82"/>
    <cellStyle name="3d" xfId="83"/>
    <cellStyle name="40% - Акцент1" xfId="84"/>
    <cellStyle name="40% - Акцент2" xfId="85"/>
    <cellStyle name="40% - Акцент3" xfId="86"/>
    <cellStyle name="40% - Акцент4" xfId="87"/>
    <cellStyle name="40% - Акцент5" xfId="88"/>
    <cellStyle name="40% - Акцент6" xfId="89"/>
    <cellStyle name="60% - Акцент1" xfId="90"/>
    <cellStyle name="60% - Акцент2" xfId="91"/>
    <cellStyle name="60% - Акцент3" xfId="92"/>
    <cellStyle name="60% - Акцент4" xfId="93"/>
    <cellStyle name="60% - Акцент5" xfId="94"/>
    <cellStyle name="60% - Акцент6" xfId="95"/>
    <cellStyle name="Centered Heading" xfId="96"/>
    <cellStyle name="Code" xfId="97"/>
    <cellStyle name="Comma [0]_0_Cash" xfId="98"/>
    <cellStyle name="Comma 0.0" xfId="99"/>
    <cellStyle name="Comma 0.00" xfId="100"/>
    <cellStyle name="Comma 0.000" xfId="101"/>
    <cellStyle name="Comma_0_Cash" xfId="102"/>
    <cellStyle name="Company Name" xfId="103"/>
    <cellStyle name="Credit" xfId="104"/>
    <cellStyle name="Credit subtotal" xfId="105"/>
    <cellStyle name="Credit Total" xfId="106"/>
    <cellStyle name="Currency [0]_0_Cash" xfId="107"/>
    <cellStyle name="Currency 0.0" xfId="108"/>
    <cellStyle name="Currency 0.00" xfId="109"/>
    <cellStyle name="Currency 0.000" xfId="110"/>
    <cellStyle name="Currency_0_Cash" xfId="111"/>
    <cellStyle name="date" xfId="112"/>
    <cellStyle name="Debit" xfId="113"/>
    <cellStyle name="Debit subtotal" xfId="114"/>
    <cellStyle name="Debit Total" xfId="115"/>
    <cellStyle name="Dezimal [0]_Compiling Utility Macros" xfId="116"/>
    <cellStyle name="Dezimal_Compiling Utility Macros" xfId="117"/>
    <cellStyle name="E&amp;Y House" xfId="118"/>
    <cellStyle name="Euro" xfId="119"/>
    <cellStyle name="Followed Hyperlink_Draft-forms" xfId="120"/>
    <cellStyle name="Heading No Underline" xfId="121"/>
    <cellStyle name="Heading With Underline" xfId="122"/>
    <cellStyle name="Hyperlink_Tier 1" xfId="123"/>
    <cellStyle name="Iau?iue_130 nnd. are." xfId="124"/>
    <cellStyle name="Input_Sell" xfId="125"/>
    <cellStyle name="Just_Table" xfId="126"/>
    <cellStyle name="Normal_~0058959" xfId="127"/>
    <cellStyle name="normбlnм_laroux" xfId="128"/>
    <cellStyle name="Percent %" xfId="129"/>
    <cellStyle name="Percent % Long Underline" xfId="130"/>
    <cellStyle name="Percent 0.0%" xfId="131"/>
    <cellStyle name="Percent 0.0% Long Underline" xfId="132"/>
    <cellStyle name="Percent 0.00%" xfId="133"/>
    <cellStyle name="Percent 0.00% Long Underline" xfId="134"/>
    <cellStyle name="Percent 0.000%" xfId="135"/>
    <cellStyle name="Percent 0.000% Long Underline" xfId="136"/>
    <cellStyle name="protect" xfId="137"/>
    <cellStyle name="QTitle" xfId="138"/>
    <cellStyle name="range" xfId="139"/>
    <cellStyle name="Show_Sell" xfId="140"/>
    <cellStyle name="Standard_Anpassen der Amortisation" xfId="141"/>
    <cellStyle name="t2" xfId="142"/>
    <cellStyle name="Tioma style" xfId="143"/>
    <cellStyle name="Validation" xfId="144"/>
    <cellStyle name="Wдhrung [0]_Compiling Utility Macros" xfId="145"/>
    <cellStyle name="Wдhrung_Compiling Utility Macros" xfId="146"/>
    <cellStyle name="XComma" xfId="147"/>
    <cellStyle name="XComma 0.0" xfId="148"/>
    <cellStyle name="XComma 0.00" xfId="149"/>
    <cellStyle name="XComma 0.000" xfId="150"/>
    <cellStyle name="XCurrency" xfId="151"/>
    <cellStyle name="XCurrency 0.0" xfId="152"/>
    <cellStyle name="XCurrency 0.00" xfId="153"/>
    <cellStyle name="XCurrency 0.000" xfId="154"/>
    <cellStyle name="YelNumbersCurr" xfId="155"/>
    <cellStyle name="Акцент1" xfId="156"/>
    <cellStyle name="Акцент2" xfId="157"/>
    <cellStyle name="Акцент3" xfId="158"/>
    <cellStyle name="Акцент4" xfId="159"/>
    <cellStyle name="Акцент5" xfId="160"/>
    <cellStyle name="Акцент6" xfId="161"/>
    <cellStyle name="Ввод " xfId="162"/>
    <cellStyle name="Вывод" xfId="163"/>
    <cellStyle name="Вычисление" xfId="164"/>
    <cellStyle name="Currency" xfId="165"/>
    <cellStyle name="Currency [0]" xfId="166"/>
    <cellStyle name="Заголовок 1" xfId="167"/>
    <cellStyle name="Заголовок 2" xfId="168"/>
    <cellStyle name="Заголовок 3" xfId="169"/>
    <cellStyle name="Заголовок 4" xfId="170"/>
    <cellStyle name="Итог" xfId="171"/>
    <cellStyle name="Контрольная ячейка" xfId="172"/>
    <cellStyle name="Название" xfId="173"/>
    <cellStyle name="Нейтральный" xfId="174"/>
    <cellStyle name="Обычный 2" xfId="175"/>
    <cellStyle name="Обычный 3" xfId="176"/>
    <cellStyle name="Обычный_Financial model of Project JR41_ 1 вариант" xfId="177"/>
    <cellStyle name="Плохой" xfId="178"/>
    <cellStyle name="Пояснение" xfId="179"/>
    <cellStyle name="Примечание" xfId="180"/>
    <cellStyle name="Percent" xfId="181"/>
    <cellStyle name="Процентный 2" xfId="182"/>
    <cellStyle name="Связанная ячейка" xfId="183"/>
    <cellStyle name="Стиль 1" xfId="184"/>
    <cellStyle name="Стиль 2" xfId="185"/>
    <cellStyle name="Текст предупреждения" xfId="186"/>
    <cellStyle name="Тысячи [0]_1 кв.95 и 96 года .в ц.соп." xfId="187"/>
    <cellStyle name="Тысячи [а]" xfId="188"/>
    <cellStyle name="Тысячи![0]_Цены 95г._Расчет ТП на февраль_Расчет ТП на февраль посл.._Расчет ТП на май" xfId="189"/>
    <cellStyle name="Тысячи_1 кв.95 и 96 года .в ц.соп." xfId="190"/>
    <cellStyle name="Comma" xfId="191"/>
    <cellStyle name="Comma [0]" xfId="192"/>
    <cellStyle name="Хороший" xfId="1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737"/>
  <sheetViews>
    <sheetView zoomScalePageLayoutView="0" workbookViewId="0" topLeftCell="A718">
      <selection activeCell="R731" sqref="R731"/>
    </sheetView>
  </sheetViews>
  <sheetFormatPr defaultColWidth="9.00390625" defaultRowHeight="12.75"/>
  <cols>
    <col min="4" max="4" width="9.375" style="0" bestFit="1" customWidth="1"/>
    <col min="5" max="5" width="18.375" style="0" customWidth="1"/>
    <col min="7" max="15" width="9.625" style="0" bestFit="1" customWidth="1"/>
    <col min="16" max="16" width="9.375" style="0" bestFit="1" customWidth="1"/>
    <col min="19" max="19" width="10.375" style="0" bestFit="1" customWidth="1"/>
  </cols>
  <sheetData>
    <row r="1" spans="1:47" ht="18">
      <c r="A1" s="179" t="s">
        <v>493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</row>
    <row r="2" spans="1:47" ht="12.75">
      <c r="A2" s="1" t="s">
        <v>0</v>
      </c>
      <c r="B2" s="178" t="s">
        <v>1</v>
      </c>
      <c r="C2" s="178"/>
      <c r="D2" s="178"/>
      <c r="E2" s="178"/>
      <c r="F2" s="178"/>
      <c r="G2" s="178"/>
      <c r="H2" s="178" t="s">
        <v>10</v>
      </c>
      <c r="I2" s="178"/>
      <c r="J2" s="178" t="s">
        <v>16</v>
      </c>
      <c r="K2" s="178"/>
      <c r="L2" s="178"/>
      <c r="M2" s="178" t="s">
        <v>17</v>
      </c>
      <c r="N2" s="178"/>
      <c r="O2" s="178"/>
      <c r="P2" s="178"/>
      <c r="Q2" s="178" t="s">
        <v>11</v>
      </c>
      <c r="R2" s="178"/>
      <c r="S2" s="178"/>
      <c r="T2" s="178"/>
      <c r="U2" s="178"/>
      <c r="V2" s="178" t="s">
        <v>12</v>
      </c>
      <c r="W2" s="178"/>
      <c r="X2" s="178"/>
      <c r="Y2" s="178"/>
      <c r="Z2" s="178"/>
      <c r="AA2" s="178" t="s">
        <v>13</v>
      </c>
      <c r="AB2" s="178"/>
      <c r="AC2" s="178"/>
      <c r="AD2" s="178"/>
      <c r="AE2" s="178" t="s">
        <v>14</v>
      </c>
      <c r="AF2" s="178"/>
      <c r="AG2" s="178"/>
      <c r="AH2" s="178" t="s">
        <v>15</v>
      </c>
      <c r="AI2" s="178"/>
      <c r="AJ2" s="178"/>
      <c r="AK2" s="178"/>
      <c r="AL2" s="178"/>
      <c r="AM2" s="178"/>
      <c r="AN2" s="178"/>
      <c r="AO2" s="178" t="s">
        <v>18</v>
      </c>
      <c r="AP2" s="178"/>
      <c r="AQ2" s="178"/>
      <c r="AR2" s="178"/>
      <c r="AS2" s="178"/>
      <c r="AT2" s="178"/>
      <c r="AU2" s="178"/>
    </row>
    <row r="3" spans="1:47" ht="12.75">
      <c r="A3" s="1">
        <v>1</v>
      </c>
      <c r="B3" s="178">
        <v>2</v>
      </c>
      <c r="C3" s="178"/>
      <c r="D3" s="178"/>
      <c r="E3" s="178"/>
      <c r="F3" s="178"/>
      <c r="G3" s="178"/>
      <c r="H3" s="178">
        <v>3</v>
      </c>
      <c r="I3" s="178"/>
      <c r="J3" s="178">
        <v>4</v>
      </c>
      <c r="K3" s="178"/>
      <c r="L3" s="178"/>
      <c r="M3" s="178">
        <v>5</v>
      </c>
      <c r="N3" s="178"/>
      <c r="O3" s="178"/>
      <c r="P3" s="178"/>
      <c r="Q3" s="178">
        <v>6</v>
      </c>
      <c r="R3" s="178"/>
      <c r="S3" s="178"/>
      <c r="T3" s="178"/>
      <c r="U3" s="178"/>
      <c r="V3" s="178">
        <v>7</v>
      </c>
      <c r="W3" s="178"/>
      <c r="X3" s="178"/>
      <c r="Y3" s="178"/>
      <c r="Z3" s="178"/>
      <c r="AA3" s="178">
        <v>8</v>
      </c>
      <c r="AB3" s="178"/>
      <c r="AC3" s="178"/>
      <c r="AD3" s="178"/>
      <c r="AE3" s="178">
        <v>9</v>
      </c>
      <c r="AF3" s="178"/>
      <c r="AG3" s="178"/>
      <c r="AH3" s="178">
        <v>10</v>
      </c>
      <c r="AI3" s="178"/>
      <c r="AJ3" s="178"/>
      <c r="AK3" s="178"/>
      <c r="AL3" s="178"/>
      <c r="AM3" s="178"/>
      <c r="AN3" s="178"/>
      <c r="AO3" s="178">
        <v>11</v>
      </c>
      <c r="AP3" s="178"/>
      <c r="AQ3" s="178"/>
      <c r="AR3" s="178"/>
      <c r="AS3" s="178"/>
      <c r="AT3" s="178"/>
      <c r="AU3" s="178"/>
    </row>
    <row r="4" spans="1:47" ht="12.75">
      <c r="A4" s="2">
        <v>1</v>
      </c>
      <c r="B4" s="184" t="s">
        <v>2</v>
      </c>
      <c r="C4" s="184"/>
      <c r="D4" s="184"/>
      <c r="E4" s="184"/>
      <c r="F4" s="184"/>
      <c r="G4" s="184"/>
      <c r="H4" s="176">
        <v>18</v>
      </c>
      <c r="I4" s="176"/>
      <c r="J4" s="175">
        <f>12130*8.23</f>
        <v>99829.90000000001</v>
      </c>
      <c r="K4" s="175"/>
      <c r="L4" s="175"/>
      <c r="M4" s="175">
        <f aca="true" t="shared" si="0" ref="M4:M11">J4</f>
        <v>99829.90000000001</v>
      </c>
      <c r="N4" s="176"/>
      <c r="O4" s="176"/>
      <c r="P4" s="176"/>
      <c r="Q4" s="176">
        <f aca="true" t="shared" si="1" ref="Q4:Q11">(J4+M4)/100*70</f>
        <v>139761.86000000002</v>
      </c>
      <c r="R4" s="176"/>
      <c r="S4" s="176"/>
      <c r="T4" s="176"/>
      <c r="U4" s="176"/>
      <c r="V4" s="175">
        <f aca="true" t="shared" si="2" ref="V4:V11">J4+M4+Q4</f>
        <v>339421.66000000003</v>
      </c>
      <c r="W4" s="176"/>
      <c r="X4" s="176"/>
      <c r="Y4" s="176"/>
      <c r="Z4" s="176"/>
      <c r="AA4" s="176">
        <f aca="true" t="shared" si="3" ref="AA4:AA11">V4*12</f>
        <v>4073059.9200000004</v>
      </c>
      <c r="AB4" s="176"/>
      <c r="AC4" s="176"/>
      <c r="AD4" s="176"/>
      <c r="AE4" s="176">
        <v>1</v>
      </c>
      <c r="AF4" s="176"/>
      <c r="AG4" s="176"/>
      <c r="AH4" s="176">
        <f aca="true" t="shared" si="4" ref="AH4:AH11">V4*AE4</f>
        <v>339421.66000000003</v>
      </c>
      <c r="AI4" s="176"/>
      <c r="AJ4" s="176"/>
      <c r="AK4" s="176"/>
      <c r="AL4" s="176"/>
      <c r="AM4" s="176"/>
      <c r="AN4" s="176"/>
      <c r="AO4" s="176">
        <f aca="true" t="shared" si="5" ref="AO4:AO11">AA4*AE4</f>
        <v>4073059.9200000004</v>
      </c>
      <c r="AP4" s="176"/>
      <c r="AQ4" s="176"/>
      <c r="AR4" s="176"/>
      <c r="AS4" s="176"/>
      <c r="AT4" s="176"/>
      <c r="AU4" s="176"/>
    </row>
    <row r="5" spans="1:47" ht="12.75">
      <c r="A5" s="2">
        <v>2</v>
      </c>
      <c r="B5" s="184" t="s">
        <v>3</v>
      </c>
      <c r="C5" s="184"/>
      <c r="D5" s="184"/>
      <c r="E5" s="184"/>
      <c r="F5" s="184"/>
      <c r="G5" s="184"/>
      <c r="H5" s="176">
        <v>11</v>
      </c>
      <c r="I5" s="176"/>
      <c r="J5" s="175">
        <f>12130*3.68</f>
        <v>44638.4</v>
      </c>
      <c r="K5" s="175"/>
      <c r="L5" s="175"/>
      <c r="M5" s="175">
        <f t="shared" si="0"/>
        <v>44638.4</v>
      </c>
      <c r="N5" s="176"/>
      <c r="O5" s="176"/>
      <c r="P5" s="176"/>
      <c r="Q5" s="176">
        <f t="shared" si="1"/>
        <v>62493.76</v>
      </c>
      <c r="R5" s="176"/>
      <c r="S5" s="176"/>
      <c r="T5" s="176"/>
      <c r="U5" s="176"/>
      <c r="V5" s="175">
        <f t="shared" si="2"/>
        <v>151770.56</v>
      </c>
      <c r="W5" s="176"/>
      <c r="X5" s="176"/>
      <c r="Y5" s="176"/>
      <c r="Z5" s="176"/>
      <c r="AA5" s="176">
        <f t="shared" si="3"/>
        <v>1821246.72</v>
      </c>
      <c r="AB5" s="176"/>
      <c r="AC5" s="176"/>
      <c r="AD5" s="176"/>
      <c r="AE5" s="176">
        <v>1</v>
      </c>
      <c r="AF5" s="176"/>
      <c r="AG5" s="176"/>
      <c r="AH5" s="176">
        <f t="shared" si="4"/>
        <v>151770.56</v>
      </c>
      <c r="AI5" s="176"/>
      <c r="AJ5" s="176"/>
      <c r="AK5" s="176"/>
      <c r="AL5" s="176"/>
      <c r="AM5" s="176"/>
      <c r="AN5" s="176"/>
      <c r="AO5" s="176">
        <f t="shared" si="5"/>
        <v>1821246.72</v>
      </c>
      <c r="AP5" s="176"/>
      <c r="AQ5" s="176"/>
      <c r="AR5" s="176"/>
      <c r="AS5" s="176"/>
      <c r="AT5" s="176"/>
      <c r="AU5" s="176"/>
    </row>
    <row r="6" spans="1:47" ht="12.75">
      <c r="A6" s="2">
        <v>3</v>
      </c>
      <c r="B6" s="184" t="s">
        <v>4</v>
      </c>
      <c r="C6" s="184"/>
      <c r="D6" s="184"/>
      <c r="E6" s="184"/>
      <c r="F6" s="184"/>
      <c r="G6" s="184"/>
      <c r="H6" s="176">
        <v>11</v>
      </c>
      <c r="I6" s="176"/>
      <c r="J6" s="175">
        <f>12130*3.68</f>
        <v>44638.4</v>
      </c>
      <c r="K6" s="175"/>
      <c r="L6" s="175"/>
      <c r="M6" s="175">
        <f t="shared" si="0"/>
        <v>44638.4</v>
      </c>
      <c r="N6" s="176"/>
      <c r="O6" s="176"/>
      <c r="P6" s="176"/>
      <c r="Q6" s="176">
        <f t="shared" si="1"/>
        <v>62493.76</v>
      </c>
      <c r="R6" s="176"/>
      <c r="S6" s="176"/>
      <c r="T6" s="176"/>
      <c r="U6" s="176"/>
      <c r="V6" s="175">
        <f t="shared" si="2"/>
        <v>151770.56</v>
      </c>
      <c r="W6" s="176"/>
      <c r="X6" s="176"/>
      <c r="Y6" s="176"/>
      <c r="Z6" s="176"/>
      <c r="AA6" s="176">
        <f t="shared" si="3"/>
        <v>1821246.72</v>
      </c>
      <c r="AB6" s="176"/>
      <c r="AC6" s="176"/>
      <c r="AD6" s="176"/>
      <c r="AE6" s="176">
        <v>1</v>
      </c>
      <c r="AF6" s="176"/>
      <c r="AG6" s="176"/>
      <c r="AH6" s="176">
        <f t="shared" si="4"/>
        <v>151770.56</v>
      </c>
      <c r="AI6" s="176"/>
      <c r="AJ6" s="176"/>
      <c r="AK6" s="176"/>
      <c r="AL6" s="176"/>
      <c r="AM6" s="176"/>
      <c r="AN6" s="176"/>
      <c r="AO6" s="176">
        <f t="shared" si="5"/>
        <v>1821246.72</v>
      </c>
      <c r="AP6" s="176"/>
      <c r="AQ6" s="176"/>
      <c r="AR6" s="176"/>
      <c r="AS6" s="176"/>
      <c r="AT6" s="176"/>
      <c r="AU6" s="176"/>
    </row>
    <row r="7" spans="1:47" ht="12.75">
      <c r="A7" s="2">
        <v>4</v>
      </c>
      <c r="B7" s="184" t="s">
        <v>5</v>
      </c>
      <c r="C7" s="184"/>
      <c r="D7" s="184"/>
      <c r="E7" s="184"/>
      <c r="F7" s="184"/>
      <c r="G7" s="184"/>
      <c r="H7" s="176">
        <v>11</v>
      </c>
      <c r="I7" s="176"/>
      <c r="J7" s="175">
        <f>12130*3.68</f>
        <v>44638.4</v>
      </c>
      <c r="K7" s="175"/>
      <c r="L7" s="175"/>
      <c r="M7" s="175">
        <f t="shared" si="0"/>
        <v>44638.4</v>
      </c>
      <c r="N7" s="176"/>
      <c r="O7" s="176"/>
      <c r="P7" s="176"/>
      <c r="Q7" s="176">
        <f t="shared" si="1"/>
        <v>62493.76</v>
      </c>
      <c r="R7" s="176"/>
      <c r="S7" s="176"/>
      <c r="T7" s="176"/>
      <c r="U7" s="176"/>
      <c r="V7" s="175">
        <f t="shared" si="2"/>
        <v>151770.56</v>
      </c>
      <c r="W7" s="176"/>
      <c r="X7" s="176"/>
      <c r="Y7" s="176"/>
      <c r="Z7" s="176"/>
      <c r="AA7" s="176">
        <f t="shared" si="3"/>
        <v>1821246.72</v>
      </c>
      <c r="AB7" s="176"/>
      <c r="AC7" s="176"/>
      <c r="AD7" s="176"/>
      <c r="AE7" s="176">
        <v>1</v>
      </c>
      <c r="AF7" s="176"/>
      <c r="AG7" s="176"/>
      <c r="AH7" s="176">
        <f t="shared" si="4"/>
        <v>151770.56</v>
      </c>
      <c r="AI7" s="176"/>
      <c r="AJ7" s="176"/>
      <c r="AK7" s="176"/>
      <c r="AL7" s="176"/>
      <c r="AM7" s="176"/>
      <c r="AN7" s="176"/>
      <c r="AO7" s="176">
        <f t="shared" si="5"/>
        <v>1821246.72</v>
      </c>
      <c r="AP7" s="176"/>
      <c r="AQ7" s="176"/>
      <c r="AR7" s="176"/>
      <c r="AS7" s="176"/>
      <c r="AT7" s="176"/>
      <c r="AU7" s="176"/>
    </row>
    <row r="8" spans="1:47" ht="12.75">
      <c r="A8" s="2">
        <v>5</v>
      </c>
      <c r="B8" s="184" t="s">
        <v>6</v>
      </c>
      <c r="C8" s="184"/>
      <c r="D8" s="184"/>
      <c r="E8" s="184"/>
      <c r="F8" s="184"/>
      <c r="G8" s="184"/>
      <c r="H8" s="176">
        <v>8</v>
      </c>
      <c r="I8" s="176"/>
      <c r="J8" s="175">
        <f>12130*2.54</f>
        <v>30810.2</v>
      </c>
      <c r="K8" s="175"/>
      <c r="L8" s="175"/>
      <c r="M8" s="175">
        <f t="shared" si="0"/>
        <v>30810.2</v>
      </c>
      <c r="N8" s="176"/>
      <c r="O8" s="176"/>
      <c r="P8" s="176"/>
      <c r="Q8" s="176">
        <f t="shared" si="1"/>
        <v>43134.280000000006</v>
      </c>
      <c r="R8" s="176"/>
      <c r="S8" s="176"/>
      <c r="T8" s="176"/>
      <c r="U8" s="176"/>
      <c r="V8" s="175">
        <f t="shared" si="2"/>
        <v>104754.68000000001</v>
      </c>
      <c r="W8" s="176"/>
      <c r="X8" s="176"/>
      <c r="Y8" s="176"/>
      <c r="Z8" s="176"/>
      <c r="AA8" s="176">
        <f t="shared" si="3"/>
        <v>1257056.1600000001</v>
      </c>
      <c r="AB8" s="176"/>
      <c r="AC8" s="176"/>
      <c r="AD8" s="176"/>
      <c r="AE8" s="176">
        <v>3</v>
      </c>
      <c r="AF8" s="176"/>
      <c r="AG8" s="176"/>
      <c r="AH8" s="176">
        <f t="shared" si="4"/>
        <v>314264.04000000004</v>
      </c>
      <c r="AI8" s="176"/>
      <c r="AJ8" s="176"/>
      <c r="AK8" s="176"/>
      <c r="AL8" s="176"/>
      <c r="AM8" s="176"/>
      <c r="AN8" s="176"/>
      <c r="AO8" s="176">
        <f t="shared" si="5"/>
        <v>3771168.4800000004</v>
      </c>
      <c r="AP8" s="176"/>
      <c r="AQ8" s="176"/>
      <c r="AR8" s="176"/>
      <c r="AS8" s="176"/>
      <c r="AT8" s="176"/>
      <c r="AU8" s="176"/>
    </row>
    <row r="9" spans="1:47" ht="12.75">
      <c r="A9" s="2">
        <v>6</v>
      </c>
      <c r="B9" s="184" t="s">
        <v>7</v>
      </c>
      <c r="C9" s="184"/>
      <c r="D9" s="184"/>
      <c r="E9" s="184"/>
      <c r="F9" s="184"/>
      <c r="G9" s="184"/>
      <c r="H9" s="176">
        <v>6</v>
      </c>
      <c r="I9" s="176"/>
      <c r="J9" s="175">
        <f>12130*2</f>
        <v>24260</v>
      </c>
      <c r="K9" s="175"/>
      <c r="L9" s="175"/>
      <c r="M9" s="175">
        <f t="shared" si="0"/>
        <v>24260</v>
      </c>
      <c r="N9" s="176"/>
      <c r="O9" s="176"/>
      <c r="P9" s="176"/>
      <c r="Q9" s="175">
        <f t="shared" si="1"/>
        <v>33964</v>
      </c>
      <c r="R9" s="175"/>
      <c r="S9" s="175"/>
      <c r="T9" s="175"/>
      <c r="U9" s="175"/>
      <c r="V9" s="175">
        <f t="shared" si="2"/>
        <v>82484</v>
      </c>
      <c r="W9" s="176"/>
      <c r="X9" s="176"/>
      <c r="Y9" s="176"/>
      <c r="Z9" s="176"/>
      <c r="AA9" s="175">
        <f t="shared" si="3"/>
        <v>989808</v>
      </c>
      <c r="AB9" s="175"/>
      <c r="AC9" s="175"/>
      <c r="AD9" s="175"/>
      <c r="AE9" s="176">
        <v>3</v>
      </c>
      <c r="AF9" s="176"/>
      <c r="AG9" s="176"/>
      <c r="AH9" s="175">
        <f t="shared" si="4"/>
        <v>247452</v>
      </c>
      <c r="AI9" s="175"/>
      <c r="AJ9" s="175"/>
      <c r="AK9" s="175"/>
      <c r="AL9" s="175"/>
      <c r="AM9" s="175"/>
      <c r="AN9" s="175"/>
      <c r="AO9" s="175">
        <f t="shared" si="5"/>
        <v>2969424</v>
      </c>
      <c r="AP9" s="175"/>
      <c r="AQ9" s="175"/>
      <c r="AR9" s="175"/>
      <c r="AS9" s="175"/>
      <c r="AT9" s="175"/>
      <c r="AU9" s="175"/>
    </row>
    <row r="10" spans="1:47" ht="12.75">
      <c r="A10" s="2">
        <v>7</v>
      </c>
      <c r="B10" s="184" t="s">
        <v>8</v>
      </c>
      <c r="C10" s="184"/>
      <c r="D10" s="184"/>
      <c r="E10" s="184"/>
      <c r="F10" s="184"/>
      <c r="G10" s="184"/>
      <c r="H10" s="176">
        <v>5</v>
      </c>
      <c r="I10" s="176"/>
      <c r="J10" s="175">
        <f>12130*1.82</f>
        <v>22076.600000000002</v>
      </c>
      <c r="K10" s="175"/>
      <c r="L10" s="175"/>
      <c r="M10" s="175">
        <f t="shared" si="0"/>
        <v>22076.600000000002</v>
      </c>
      <c r="N10" s="176"/>
      <c r="O10" s="176"/>
      <c r="P10" s="176"/>
      <c r="Q10" s="176">
        <f t="shared" si="1"/>
        <v>30907.24</v>
      </c>
      <c r="R10" s="176"/>
      <c r="S10" s="176"/>
      <c r="T10" s="176"/>
      <c r="U10" s="176"/>
      <c r="V10" s="175">
        <f t="shared" si="2"/>
        <v>75060.44</v>
      </c>
      <c r="W10" s="176"/>
      <c r="X10" s="176"/>
      <c r="Y10" s="176"/>
      <c r="Z10" s="176"/>
      <c r="AA10" s="176">
        <f t="shared" si="3"/>
        <v>900725.28</v>
      </c>
      <c r="AB10" s="176"/>
      <c r="AC10" s="176"/>
      <c r="AD10" s="176"/>
      <c r="AE10" s="176">
        <v>2</v>
      </c>
      <c r="AF10" s="176"/>
      <c r="AG10" s="176"/>
      <c r="AH10" s="176">
        <f t="shared" si="4"/>
        <v>150120.88</v>
      </c>
      <c r="AI10" s="176"/>
      <c r="AJ10" s="176"/>
      <c r="AK10" s="176"/>
      <c r="AL10" s="176"/>
      <c r="AM10" s="176"/>
      <c r="AN10" s="176"/>
      <c r="AO10" s="176">
        <f t="shared" si="5"/>
        <v>1801450.56</v>
      </c>
      <c r="AP10" s="176"/>
      <c r="AQ10" s="176"/>
      <c r="AR10" s="176"/>
      <c r="AS10" s="176"/>
      <c r="AT10" s="176"/>
      <c r="AU10" s="176"/>
    </row>
    <row r="11" spans="1:47" ht="12.75">
      <c r="A11" s="2">
        <v>8</v>
      </c>
      <c r="B11" s="184" t="s">
        <v>8</v>
      </c>
      <c r="C11" s="184"/>
      <c r="D11" s="184"/>
      <c r="E11" s="184"/>
      <c r="F11" s="184"/>
      <c r="G11" s="184"/>
      <c r="H11" s="176">
        <v>3</v>
      </c>
      <c r="I11" s="176"/>
      <c r="J11" s="175">
        <f>12130*1.59</f>
        <v>19286.7</v>
      </c>
      <c r="K11" s="175"/>
      <c r="L11" s="175"/>
      <c r="M11" s="175">
        <f t="shared" si="0"/>
        <v>19286.7</v>
      </c>
      <c r="N11" s="176"/>
      <c r="O11" s="176"/>
      <c r="P11" s="176"/>
      <c r="Q11" s="176">
        <f t="shared" si="1"/>
        <v>27001.38</v>
      </c>
      <c r="R11" s="176"/>
      <c r="S11" s="176"/>
      <c r="T11" s="176"/>
      <c r="U11" s="176"/>
      <c r="V11" s="175">
        <f t="shared" si="2"/>
        <v>65574.78</v>
      </c>
      <c r="W11" s="176"/>
      <c r="X11" s="176"/>
      <c r="Y11" s="176"/>
      <c r="Z11" s="176"/>
      <c r="AA11" s="176">
        <f t="shared" si="3"/>
        <v>786897.36</v>
      </c>
      <c r="AB11" s="176"/>
      <c r="AC11" s="176"/>
      <c r="AD11" s="176"/>
      <c r="AE11" s="176">
        <v>2</v>
      </c>
      <c r="AF11" s="176"/>
      <c r="AG11" s="176"/>
      <c r="AH11" s="176">
        <f t="shared" si="4"/>
        <v>131149.56</v>
      </c>
      <c r="AI11" s="176"/>
      <c r="AJ11" s="176"/>
      <c r="AK11" s="176"/>
      <c r="AL11" s="176"/>
      <c r="AM11" s="176"/>
      <c r="AN11" s="176"/>
      <c r="AO11" s="176">
        <f t="shared" si="5"/>
        <v>1573794.72</v>
      </c>
      <c r="AP11" s="176"/>
      <c r="AQ11" s="176"/>
      <c r="AR11" s="176"/>
      <c r="AS11" s="176"/>
      <c r="AT11" s="176"/>
      <c r="AU11" s="176"/>
    </row>
    <row r="12" spans="1:47" ht="12.75">
      <c r="A12" s="3"/>
      <c r="B12" s="186" t="s">
        <v>9</v>
      </c>
      <c r="C12" s="186"/>
      <c r="D12" s="186"/>
      <c r="E12" s="186"/>
      <c r="F12" s="186"/>
      <c r="G12" s="186"/>
      <c r="H12" s="183"/>
      <c r="I12" s="183"/>
      <c r="J12" s="185">
        <f>J4+J5+J6+J7+J8+J9+J10+J11</f>
        <v>330178.6</v>
      </c>
      <c r="K12" s="185"/>
      <c r="L12" s="185"/>
      <c r="M12" s="185">
        <f>M4+M5+M6+M7+M8+M9+M10+M11</f>
        <v>330178.6</v>
      </c>
      <c r="N12" s="185"/>
      <c r="O12" s="185"/>
      <c r="P12" s="185"/>
      <c r="Q12" s="185">
        <f>Q4+Q5+Q6+Q7+Q8+Q9+Q10+Q11</f>
        <v>462250.04000000004</v>
      </c>
      <c r="R12" s="185"/>
      <c r="S12" s="185"/>
      <c r="T12" s="185"/>
      <c r="U12" s="185"/>
      <c r="V12" s="185">
        <f>V4+V5+V6+V7+V8+V9+V10+V11</f>
        <v>1122607.2400000002</v>
      </c>
      <c r="W12" s="185"/>
      <c r="X12" s="185"/>
      <c r="Y12" s="185"/>
      <c r="Z12" s="185"/>
      <c r="AA12" s="183">
        <f>AA4+AA5+AA6+AA7+AA8+AA9+AA10+AA11</f>
        <v>13471286.879999999</v>
      </c>
      <c r="AB12" s="183"/>
      <c r="AC12" s="183"/>
      <c r="AD12" s="183"/>
      <c r="AE12" s="183">
        <f>AE4+AE5+AE6+AE7+AE8+AE9+AE10+AE11</f>
        <v>14</v>
      </c>
      <c r="AF12" s="183"/>
      <c r="AG12" s="183"/>
      <c r="AH12" s="183">
        <f>AH4+AH5+AH6+AH7+AH8+AH9+AH10+AH11</f>
        <v>1637719.8200000003</v>
      </c>
      <c r="AI12" s="183"/>
      <c r="AJ12" s="183"/>
      <c r="AK12" s="183"/>
      <c r="AL12" s="183"/>
      <c r="AM12" s="183"/>
      <c r="AN12" s="183"/>
      <c r="AO12" s="183">
        <f>AO4+AO5+AO6+AO7+AO8+AO9+AO10+AO11</f>
        <v>19652637.84</v>
      </c>
      <c r="AP12" s="183"/>
      <c r="AQ12" s="183"/>
      <c r="AR12" s="183"/>
      <c r="AS12" s="183"/>
      <c r="AT12" s="183"/>
      <c r="AU12" s="183"/>
    </row>
    <row r="13" spans="1:49" ht="18">
      <c r="A13" s="179" t="s">
        <v>33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</row>
    <row r="14" spans="1:49" ht="12.75">
      <c r="A14" s="178" t="s">
        <v>0</v>
      </c>
      <c r="B14" s="178" t="s">
        <v>19</v>
      </c>
      <c r="C14" s="178"/>
      <c r="D14" s="178"/>
      <c r="E14" s="178"/>
      <c r="F14" s="178"/>
      <c r="G14" s="178"/>
      <c r="H14" s="178"/>
      <c r="I14" s="178"/>
      <c r="J14" s="178"/>
      <c r="K14" s="178" t="s">
        <v>20</v>
      </c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 t="s">
        <v>22</v>
      </c>
      <c r="AD14" s="178"/>
      <c r="AE14" s="178"/>
      <c r="AF14" s="178"/>
      <c r="AG14" s="178"/>
      <c r="AH14" s="178"/>
      <c r="AI14" s="178"/>
      <c r="AJ14" s="178"/>
      <c r="AK14" s="178" t="s">
        <v>23</v>
      </c>
      <c r="AL14" s="178"/>
      <c r="AM14" s="178"/>
      <c r="AN14" s="178"/>
      <c r="AO14" s="178"/>
      <c r="AP14" s="178" t="s">
        <v>24</v>
      </c>
      <c r="AQ14" s="178"/>
      <c r="AR14" s="178"/>
      <c r="AS14" s="178"/>
      <c r="AT14" s="178"/>
      <c r="AU14" s="178"/>
      <c r="AV14" s="178"/>
      <c r="AW14" s="178"/>
    </row>
    <row r="15" spans="1:49" ht="12.75">
      <c r="A15" s="178"/>
      <c r="B15" s="178" t="s">
        <v>494</v>
      </c>
      <c r="C15" s="178"/>
      <c r="D15" s="178"/>
      <c r="E15" s="178"/>
      <c r="F15" s="178"/>
      <c r="G15" s="178" t="s">
        <v>495</v>
      </c>
      <c r="H15" s="178"/>
      <c r="I15" s="178"/>
      <c r="J15" s="178"/>
      <c r="K15" s="178" t="s">
        <v>21</v>
      </c>
      <c r="L15" s="178"/>
      <c r="M15" s="178"/>
      <c r="N15" s="178"/>
      <c r="O15" s="178"/>
      <c r="P15" s="178"/>
      <c r="Q15" s="178" t="s">
        <v>496</v>
      </c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</row>
    <row r="16" spans="1:49" ht="12.75">
      <c r="A16" s="4"/>
      <c r="B16" s="178">
        <v>12</v>
      </c>
      <c r="C16" s="178"/>
      <c r="D16" s="178"/>
      <c r="E16" s="178"/>
      <c r="F16" s="178"/>
      <c r="G16" s="178">
        <v>13</v>
      </c>
      <c r="H16" s="178"/>
      <c r="I16" s="178"/>
      <c r="J16" s="178"/>
      <c r="K16" s="178">
        <v>14</v>
      </c>
      <c r="L16" s="178"/>
      <c r="M16" s="178"/>
      <c r="N16" s="178"/>
      <c r="O16" s="178"/>
      <c r="P16" s="178"/>
      <c r="Q16" s="178">
        <v>15</v>
      </c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>
        <v>16</v>
      </c>
      <c r="AD16" s="178"/>
      <c r="AE16" s="178"/>
      <c r="AF16" s="178"/>
      <c r="AG16" s="178"/>
      <c r="AH16" s="178"/>
      <c r="AI16" s="178"/>
      <c r="AJ16" s="178"/>
      <c r="AK16" s="178">
        <v>17</v>
      </c>
      <c r="AL16" s="178"/>
      <c r="AM16" s="178"/>
      <c r="AN16" s="178"/>
      <c r="AO16" s="178"/>
      <c r="AP16" s="178">
        <v>18</v>
      </c>
      <c r="AQ16" s="178"/>
      <c r="AR16" s="178"/>
      <c r="AS16" s="178"/>
      <c r="AT16" s="178"/>
      <c r="AU16" s="178"/>
      <c r="AV16" s="178"/>
      <c r="AW16" s="178"/>
    </row>
    <row r="17" spans="1:49" ht="12.75">
      <c r="A17" s="2">
        <v>1</v>
      </c>
      <c r="B17" s="175">
        <f>1292000/100*22</f>
        <v>284240</v>
      </c>
      <c r="C17" s="175"/>
      <c r="D17" s="175"/>
      <c r="E17" s="175"/>
      <c r="F17" s="175"/>
      <c r="G17" s="175">
        <f>(AA4-1292000)/100*10</f>
        <v>278105.992</v>
      </c>
      <c r="H17" s="175"/>
      <c r="I17" s="175"/>
      <c r="J17" s="175"/>
      <c r="K17" s="175">
        <f>AA4/100*0.2</f>
        <v>8146.119840000001</v>
      </c>
      <c r="L17" s="175"/>
      <c r="M17" s="175"/>
      <c r="N17" s="175"/>
      <c r="O17" s="175"/>
      <c r="P17" s="175"/>
      <c r="Q17" s="175">
        <f aca="true" t="shared" si="6" ref="Q17:Q22">912000/100*2.9</f>
        <v>26448</v>
      </c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>
        <f aca="true" t="shared" si="7" ref="AC17:AC24">AA4/100*5.1</f>
        <v>207726.05592</v>
      </c>
      <c r="AD17" s="175"/>
      <c r="AE17" s="175"/>
      <c r="AF17" s="175"/>
      <c r="AG17" s="175"/>
      <c r="AH17" s="175"/>
      <c r="AI17" s="175"/>
      <c r="AJ17" s="175"/>
      <c r="AK17" s="175">
        <f aca="true" t="shared" si="8" ref="AK17:AK24">AC17+Q17+K17+G17+B17</f>
        <v>804666.1677600001</v>
      </c>
      <c r="AL17" s="176"/>
      <c r="AM17" s="176"/>
      <c r="AN17" s="176"/>
      <c r="AO17" s="176"/>
      <c r="AP17" s="175">
        <f aca="true" t="shared" si="9" ref="AP17:AP24">AK17*AE4</f>
        <v>804666.1677600001</v>
      </c>
      <c r="AQ17" s="175"/>
      <c r="AR17" s="175"/>
      <c r="AS17" s="175"/>
      <c r="AT17" s="175"/>
      <c r="AU17" s="175"/>
      <c r="AV17" s="175"/>
      <c r="AW17" s="175"/>
    </row>
    <row r="18" spans="1:49" ht="12.75">
      <c r="A18" s="2">
        <v>2</v>
      </c>
      <c r="B18" s="175">
        <f>1292000/100*22</f>
        <v>284240</v>
      </c>
      <c r="C18" s="175"/>
      <c r="D18" s="175"/>
      <c r="E18" s="175"/>
      <c r="F18" s="175"/>
      <c r="G18" s="175">
        <f>(AA5-1292000)/100*10</f>
        <v>52924.672</v>
      </c>
      <c r="H18" s="175"/>
      <c r="I18" s="175"/>
      <c r="J18" s="175"/>
      <c r="K18" s="175">
        <f>AA5/100*0.2</f>
        <v>3642.49344</v>
      </c>
      <c r="L18" s="175"/>
      <c r="M18" s="175"/>
      <c r="N18" s="175"/>
      <c r="O18" s="175"/>
      <c r="P18" s="175"/>
      <c r="Q18" s="175">
        <f t="shared" si="6"/>
        <v>26448</v>
      </c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>
        <f t="shared" si="7"/>
        <v>92883.58271999999</v>
      </c>
      <c r="AD18" s="175"/>
      <c r="AE18" s="175"/>
      <c r="AF18" s="175"/>
      <c r="AG18" s="175"/>
      <c r="AH18" s="175"/>
      <c r="AI18" s="175"/>
      <c r="AJ18" s="175"/>
      <c r="AK18" s="175">
        <f t="shared" si="8"/>
        <v>460138.74815999996</v>
      </c>
      <c r="AL18" s="176"/>
      <c r="AM18" s="176"/>
      <c r="AN18" s="176"/>
      <c r="AO18" s="176"/>
      <c r="AP18" s="175">
        <f t="shared" si="9"/>
        <v>460138.74815999996</v>
      </c>
      <c r="AQ18" s="175"/>
      <c r="AR18" s="175"/>
      <c r="AS18" s="175"/>
      <c r="AT18" s="175"/>
      <c r="AU18" s="175"/>
      <c r="AV18" s="175"/>
      <c r="AW18" s="175"/>
    </row>
    <row r="19" spans="1:49" ht="12.75">
      <c r="A19" s="2">
        <v>3</v>
      </c>
      <c r="B19" s="175">
        <f>1292000/100*22</f>
        <v>284240</v>
      </c>
      <c r="C19" s="175"/>
      <c r="D19" s="175"/>
      <c r="E19" s="175"/>
      <c r="F19" s="175"/>
      <c r="G19" s="175">
        <f>(AA6-1292000)/100*10</f>
        <v>52924.672</v>
      </c>
      <c r="H19" s="175"/>
      <c r="I19" s="175"/>
      <c r="J19" s="175"/>
      <c r="K19" s="175">
        <f>AA6/100*0.2</f>
        <v>3642.49344</v>
      </c>
      <c r="L19" s="175"/>
      <c r="M19" s="175"/>
      <c r="N19" s="175"/>
      <c r="O19" s="175"/>
      <c r="P19" s="175"/>
      <c r="Q19" s="175">
        <f t="shared" si="6"/>
        <v>26448</v>
      </c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>
        <f t="shared" si="7"/>
        <v>92883.58271999999</v>
      </c>
      <c r="AD19" s="175"/>
      <c r="AE19" s="175"/>
      <c r="AF19" s="175"/>
      <c r="AG19" s="175"/>
      <c r="AH19" s="175"/>
      <c r="AI19" s="175"/>
      <c r="AJ19" s="175"/>
      <c r="AK19" s="175">
        <f t="shared" si="8"/>
        <v>460138.74815999996</v>
      </c>
      <c r="AL19" s="176"/>
      <c r="AM19" s="176"/>
      <c r="AN19" s="176"/>
      <c r="AO19" s="176"/>
      <c r="AP19" s="175">
        <f t="shared" si="9"/>
        <v>460138.74815999996</v>
      </c>
      <c r="AQ19" s="175"/>
      <c r="AR19" s="175"/>
      <c r="AS19" s="175"/>
      <c r="AT19" s="175"/>
      <c r="AU19" s="175"/>
      <c r="AV19" s="175"/>
      <c r="AW19" s="175"/>
    </row>
    <row r="20" spans="1:49" ht="12.75">
      <c r="A20" s="2">
        <v>4</v>
      </c>
      <c r="B20" s="175">
        <f>1292000/100*22</f>
        <v>284240</v>
      </c>
      <c r="C20" s="175"/>
      <c r="D20" s="175"/>
      <c r="E20" s="175"/>
      <c r="F20" s="175"/>
      <c r="G20" s="175">
        <f>(AA7-1292000)/100*10</f>
        <v>52924.672</v>
      </c>
      <c r="H20" s="175"/>
      <c r="I20" s="175"/>
      <c r="J20" s="175"/>
      <c r="K20" s="175">
        <f>AA7/100*0.2</f>
        <v>3642.49344</v>
      </c>
      <c r="L20" s="175"/>
      <c r="M20" s="175"/>
      <c r="N20" s="175"/>
      <c r="O20" s="175"/>
      <c r="P20" s="175"/>
      <c r="Q20" s="175">
        <f t="shared" si="6"/>
        <v>26448</v>
      </c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>
        <f t="shared" si="7"/>
        <v>92883.58271999999</v>
      </c>
      <c r="AD20" s="175"/>
      <c r="AE20" s="175"/>
      <c r="AF20" s="175"/>
      <c r="AG20" s="175"/>
      <c r="AH20" s="175"/>
      <c r="AI20" s="175"/>
      <c r="AJ20" s="175"/>
      <c r="AK20" s="175">
        <f t="shared" si="8"/>
        <v>460138.74815999996</v>
      </c>
      <c r="AL20" s="176"/>
      <c r="AM20" s="176"/>
      <c r="AN20" s="176"/>
      <c r="AO20" s="176"/>
      <c r="AP20" s="175">
        <f t="shared" si="9"/>
        <v>460138.74815999996</v>
      </c>
      <c r="AQ20" s="175"/>
      <c r="AR20" s="175"/>
      <c r="AS20" s="175"/>
      <c r="AT20" s="175"/>
      <c r="AU20" s="175"/>
      <c r="AV20" s="175"/>
      <c r="AW20" s="175"/>
    </row>
    <row r="21" spans="1:49" ht="12.75">
      <c r="A21" s="2">
        <v>5</v>
      </c>
      <c r="B21" s="175">
        <f>AA8/100*22</f>
        <v>276552.3552</v>
      </c>
      <c r="C21" s="175"/>
      <c r="D21" s="175"/>
      <c r="E21" s="175"/>
      <c r="F21" s="175"/>
      <c r="G21" s="175"/>
      <c r="H21" s="175"/>
      <c r="I21" s="175"/>
      <c r="J21" s="175"/>
      <c r="K21" s="175">
        <f>AA8/100*0.4</f>
        <v>5028.22464</v>
      </c>
      <c r="L21" s="175"/>
      <c r="M21" s="175"/>
      <c r="N21" s="175"/>
      <c r="O21" s="175"/>
      <c r="P21" s="175"/>
      <c r="Q21" s="175">
        <f t="shared" si="6"/>
        <v>26448</v>
      </c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>
        <f t="shared" si="7"/>
        <v>64109.86416</v>
      </c>
      <c r="AD21" s="175"/>
      <c r="AE21" s="175"/>
      <c r="AF21" s="175"/>
      <c r="AG21" s="175"/>
      <c r="AH21" s="175"/>
      <c r="AI21" s="175"/>
      <c r="AJ21" s="175"/>
      <c r="AK21" s="175">
        <f t="shared" si="8"/>
        <v>372138.444</v>
      </c>
      <c r="AL21" s="176"/>
      <c r="AM21" s="176"/>
      <c r="AN21" s="176"/>
      <c r="AO21" s="176"/>
      <c r="AP21" s="175">
        <f t="shared" si="9"/>
        <v>1116415.332</v>
      </c>
      <c r="AQ21" s="175"/>
      <c r="AR21" s="175"/>
      <c r="AS21" s="175"/>
      <c r="AT21" s="175"/>
      <c r="AU21" s="175"/>
      <c r="AV21" s="175"/>
      <c r="AW21" s="175"/>
    </row>
    <row r="22" spans="1:49" ht="12.75">
      <c r="A22" s="2">
        <v>6</v>
      </c>
      <c r="B22" s="175">
        <f>AA9/100*22</f>
        <v>217757.76</v>
      </c>
      <c r="C22" s="175"/>
      <c r="D22" s="175"/>
      <c r="E22" s="175"/>
      <c r="F22" s="175"/>
      <c r="G22" s="175"/>
      <c r="H22" s="175"/>
      <c r="I22" s="175"/>
      <c r="J22" s="175"/>
      <c r="K22" s="175">
        <f>AA9/100*0.4</f>
        <v>3959.232</v>
      </c>
      <c r="L22" s="175"/>
      <c r="M22" s="175"/>
      <c r="N22" s="175"/>
      <c r="O22" s="175"/>
      <c r="P22" s="175"/>
      <c r="Q22" s="175">
        <f t="shared" si="6"/>
        <v>26448</v>
      </c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>
        <f t="shared" si="7"/>
        <v>50480.208</v>
      </c>
      <c r="AD22" s="175"/>
      <c r="AE22" s="175"/>
      <c r="AF22" s="175"/>
      <c r="AG22" s="175"/>
      <c r="AH22" s="175"/>
      <c r="AI22" s="175"/>
      <c r="AJ22" s="175"/>
      <c r="AK22" s="175">
        <f t="shared" si="8"/>
        <v>298645.2</v>
      </c>
      <c r="AL22" s="176"/>
      <c r="AM22" s="176"/>
      <c r="AN22" s="176"/>
      <c r="AO22" s="176"/>
      <c r="AP22" s="175">
        <f t="shared" si="9"/>
        <v>895935.6000000001</v>
      </c>
      <c r="AQ22" s="175"/>
      <c r="AR22" s="175"/>
      <c r="AS22" s="175"/>
      <c r="AT22" s="175"/>
      <c r="AU22" s="175"/>
      <c r="AV22" s="175"/>
      <c r="AW22" s="175"/>
    </row>
    <row r="23" spans="1:49" ht="12.75">
      <c r="A23" s="2">
        <v>7</v>
      </c>
      <c r="B23" s="175">
        <f>AA10/100*22</f>
        <v>198159.56160000002</v>
      </c>
      <c r="C23" s="175"/>
      <c r="D23" s="175"/>
      <c r="E23" s="175"/>
      <c r="F23" s="175"/>
      <c r="G23" s="175"/>
      <c r="H23" s="175"/>
      <c r="I23" s="175"/>
      <c r="J23" s="175"/>
      <c r="K23" s="175">
        <f>AA10/100*0.2</f>
        <v>1801.4505600000002</v>
      </c>
      <c r="L23" s="175"/>
      <c r="M23" s="175"/>
      <c r="N23" s="175"/>
      <c r="O23" s="175"/>
      <c r="P23" s="175"/>
      <c r="Q23" s="175">
        <f>AA10/100*2.9</f>
        <v>26121.03312</v>
      </c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>
        <f t="shared" si="7"/>
        <v>45936.989279999994</v>
      </c>
      <c r="AD23" s="175"/>
      <c r="AE23" s="175"/>
      <c r="AF23" s="175"/>
      <c r="AG23" s="175"/>
      <c r="AH23" s="175"/>
      <c r="AI23" s="175"/>
      <c r="AJ23" s="175"/>
      <c r="AK23" s="175">
        <f t="shared" si="8"/>
        <v>272019.03456</v>
      </c>
      <c r="AL23" s="176"/>
      <c r="AM23" s="176"/>
      <c r="AN23" s="176"/>
      <c r="AO23" s="176"/>
      <c r="AP23" s="175">
        <f t="shared" si="9"/>
        <v>544038.06912</v>
      </c>
      <c r="AQ23" s="175"/>
      <c r="AR23" s="175"/>
      <c r="AS23" s="175"/>
      <c r="AT23" s="175"/>
      <c r="AU23" s="175"/>
      <c r="AV23" s="175"/>
      <c r="AW23" s="175"/>
    </row>
    <row r="24" spans="1:49" ht="12.75">
      <c r="A24" s="2">
        <v>8</v>
      </c>
      <c r="B24" s="175">
        <f>AA11/100*22</f>
        <v>173117.4192</v>
      </c>
      <c r="C24" s="175"/>
      <c r="D24" s="175"/>
      <c r="E24" s="175"/>
      <c r="F24" s="175"/>
      <c r="G24" s="175"/>
      <c r="H24" s="175"/>
      <c r="I24" s="175"/>
      <c r="J24" s="175"/>
      <c r="K24" s="175">
        <f>AA11/100*0.2</f>
        <v>1573.79472</v>
      </c>
      <c r="L24" s="175"/>
      <c r="M24" s="175"/>
      <c r="N24" s="175"/>
      <c r="O24" s="175"/>
      <c r="P24" s="175"/>
      <c r="Q24" s="175">
        <f>AA11/100*2.9</f>
        <v>22820.02344</v>
      </c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>
        <f t="shared" si="7"/>
        <v>40131.76536</v>
      </c>
      <c r="AD24" s="175"/>
      <c r="AE24" s="175"/>
      <c r="AF24" s="175"/>
      <c r="AG24" s="175"/>
      <c r="AH24" s="175"/>
      <c r="AI24" s="175"/>
      <c r="AJ24" s="175"/>
      <c r="AK24" s="175">
        <f t="shared" si="8"/>
        <v>237643.00272</v>
      </c>
      <c r="AL24" s="176"/>
      <c r="AM24" s="176"/>
      <c r="AN24" s="176"/>
      <c r="AO24" s="176"/>
      <c r="AP24" s="175">
        <f t="shared" si="9"/>
        <v>475286.00544</v>
      </c>
      <c r="AQ24" s="175"/>
      <c r="AR24" s="175"/>
      <c r="AS24" s="175"/>
      <c r="AT24" s="175"/>
      <c r="AU24" s="175"/>
      <c r="AV24" s="175"/>
      <c r="AW24" s="175"/>
    </row>
    <row r="25" spans="1:49" ht="12.75">
      <c r="A25" s="3"/>
      <c r="B25" s="185">
        <f>B17+B18+B19+B20+B21+B22+B23+B24</f>
        <v>2002547.096</v>
      </c>
      <c r="C25" s="183"/>
      <c r="D25" s="183"/>
      <c r="E25" s="183"/>
      <c r="F25" s="183"/>
      <c r="G25" s="185">
        <f>G17+G18+G19+G20+G21+G22+G23+G24</f>
        <v>436880.0080000001</v>
      </c>
      <c r="H25" s="185"/>
      <c r="I25" s="185"/>
      <c r="J25" s="185"/>
      <c r="K25" s="185">
        <f>K17+K18+K19+K20+K21+K22+K23+K24</f>
        <v>31436.302080000005</v>
      </c>
      <c r="L25" s="183"/>
      <c r="M25" s="183"/>
      <c r="N25" s="183"/>
      <c r="O25" s="183"/>
      <c r="P25" s="183"/>
      <c r="Q25" s="185">
        <f>Q17+Q18+Q19+Q20+Q21+Q22+Q23+Q24</f>
        <v>207629.05656</v>
      </c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5">
        <f>AC17+AC18+AC19+AC20+AC21+AC22+AC23+AC24</f>
        <v>687035.63088</v>
      </c>
      <c r="AD25" s="185"/>
      <c r="AE25" s="185"/>
      <c r="AF25" s="185"/>
      <c r="AG25" s="185"/>
      <c r="AH25" s="185"/>
      <c r="AI25" s="185"/>
      <c r="AJ25" s="185"/>
      <c r="AK25" s="185">
        <f>AK17+AK18+AK19+AK20+AK21+AK22+AK23+AK24</f>
        <v>3365528.0935200006</v>
      </c>
      <c r="AL25" s="183"/>
      <c r="AM25" s="183"/>
      <c r="AN25" s="183"/>
      <c r="AO25" s="183"/>
      <c r="AP25" s="185">
        <f>AP17+AP18+AP19+AP20+AP21+AP22+AP23+AP24</f>
        <v>5216757.4188</v>
      </c>
      <c r="AQ25" s="185"/>
      <c r="AR25" s="185"/>
      <c r="AS25" s="185"/>
      <c r="AT25" s="185"/>
      <c r="AU25" s="185"/>
      <c r="AV25" s="185"/>
      <c r="AW25" s="185"/>
    </row>
    <row r="26" spans="1:50" ht="18">
      <c r="A26" s="179" t="s">
        <v>25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</row>
    <row r="27" spans="1:50" ht="12.75">
      <c r="A27" s="178" t="s">
        <v>26</v>
      </c>
      <c r="B27" s="178" t="s">
        <v>27</v>
      </c>
      <c r="C27" s="178"/>
      <c r="D27" s="178"/>
      <c r="E27" s="178"/>
      <c r="F27" s="178" t="s">
        <v>19</v>
      </c>
      <c r="G27" s="178"/>
      <c r="H27" s="178"/>
      <c r="I27" s="178"/>
      <c r="J27" s="178"/>
      <c r="K27" s="178"/>
      <c r="L27" s="178"/>
      <c r="M27" s="178"/>
      <c r="N27" s="178"/>
      <c r="O27" s="178" t="s">
        <v>20</v>
      </c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 t="s">
        <v>22</v>
      </c>
      <c r="AH27" s="178"/>
      <c r="AI27" s="178"/>
      <c r="AJ27" s="178"/>
      <c r="AK27" s="178"/>
      <c r="AL27" s="178"/>
      <c r="AM27" s="178"/>
      <c r="AN27" s="178"/>
      <c r="AO27" s="178" t="s">
        <v>28</v>
      </c>
      <c r="AP27" s="178"/>
      <c r="AQ27" s="178"/>
      <c r="AR27" s="178"/>
      <c r="AS27" s="178"/>
      <c r="AT27" s="178" t="s">
        <v>29</v>
      </c>
      <c r="AU27" s="178"/>
      <c r="AV27" s="178"/>
      <c r="AW27" s="178"/>
      <c r="AX27" s="178"/>
    </row>
    <row r="28" spans="1:50" ht="12.75">
      <c r="A28" s="178"/>
      <c r="B28" s="178"/>
      <c r="C28" s="178"/>
      <c r="D28" s="178"/>
      <c r="E28" s="178"/>
      <c r="F28" s="178" t="s">
        <v>494</v>
      </c>
      <c r="G28" s="178"/>
      <c r="H28" s="178"/>
      <c r="I28" s="178"/>
      <c r="J28" s="178"/>
      <c r="K28" s="178" t="s">
        <v>495</v>
      </c>
      <c r="L28" s="178"/>
      <c r="M28" s="178"/>
      <c r="N28" s="178"/>
      <c r="O28" s="178" t="s">
        <v>21</v>
      </c>
      <c r="P28" s="178"/>
      <c r="Q28" s="178"/>
      <c r="R28" s="178"/>
      <c r="S28" s="178"/>
      <c r="T28" s="178"/>
      <c r="U28" s="178" t="s">
        <v>496</v>
      </c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</row>
    <row r="29" spans="1:50" ht="12.75">
      <c r="A29" s="4">
        <v>1</v>
      </c>
      <c r="B29" s="175">
        <f>V4</f>
        <v>339421.66000000003</v>
      </c>
      <c r="C29" s="176"/>
      <c r="D29" s="176"/>
      <c r="E29" s="176"/>
      <c r="F29" s="175">
        <f>B29/100*22</f>
        <v>74672.76520000001</v>
      </c>
      <c r="G29" s="175"/>
      <c r="H29" s="175"/>
      <c r="I29" s="175"/>
      <c r="J29" s="175"/>
      <c r="K29" s="176"/>
      <c r="L29" s="176"/>
      <c r="M29" s="176"/>
      <c r="N29" s="176"/>
      <c r="O29" s="175">
        <f>B29/100*0.2</f>
        <v>678.8433200000001</v>
      </c>
      <c r="P29" s="175"/>
      <c r="Q29" s="175"/>
      <c r="R29" s="175"/>
      <c r="S29" s="175"/>
      <c r="T29" s="175"/>
      <c r="U29" s="175">
        <f>B29/100*2.9</f>
        <v>9843.228140000001</v>
      </c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>
        <f>B29/100*5.1</f>
        <v>17310.50466</v>
      </c>
      <c r="AH29" s="175"/>
      <c r="AI29" s="175"/>
      <c r="AJ29" s="175"/>
      <c r="AK29" s="175"/>
      <c r="AL29" s="175"/>
      <c r="AM29" s="175"/>
      <c r="AN29" s="175"/>
      <c r="AO29" s="175">
        <f aca="true" t="shared" si="10" ref="AO29:AO40">AG29+U29+O29+K29+F29</f>
        <v>102505.34132</v>
      </c>
      <c r="AP29" s="176"/>
      <c r="AQ29" s="176"/>
      <c r="AR29" s="176"/>
      <c r="AS29" s="176"/>
      <c r="AT29" s="175">
        <f>AO29</f>
        <v>102505.34132</v>
      </c>
      <c r="AU29" s="176"/>
      <c r="AV29" s="176"/>
      <c r="AW29" s="176"/>
      <c r="AX29" s="176"/>
    </row>
    <row r="30" spans="1:50" ht="12.75">
      <c r="A30" s="4">
        <v>2</v>
      </c>
      <c r="B30" s="175">
        <f>B29+V4</f>
        <v>678843.3200000001</v>
      </c>
      <c r="C30" s="176"/>
      <c r="D30" s="176"/>
      <c r="E30" s="176"/>
      <c r="F30" s="175">
        <f>(B30-B29)/100*22</f>
        <v>74672.76520000001</v>
      </c>
      <c r="G30" s="175"/>
      <c r="H30" s="175"/>
      <c r="I30" s="175"/>
      <c r="J30" s="175"/>
      <c r="K30" s="176"/>
      <c r="L30" s="176"/>
      <c r="M30" s="176"/>
      <c r="N30" s="176"/>
      <c r="O30" s="175">
        <f aca="true" t="shared" si="11" ref="O30:O40">(B30-B29)/100*0.2</f>
        <v>678.8433200000001</v>
      </c>
      <c r="P30" s="175"/>
      <c r="Q30" s="175"/>
      <c r="R30" s="175"/>
      <c r="S30" s="175"/>
      <c r="T30" s="175"/>
      <c r="U30" s="175">
        <f>(B30-B29)/100*2.9</f>
        <v>9843.228140000001</v>
      </c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>
        <f aca="true" t="shared" si="12" ref="AG30:AG40">(B30-B29)/100*5.1</f>
        <v>17310.50466</v>
      </c>
      <c r="AH30" s="175"/>
      <c r="AI30" s="175"/>
      <c r="AJ30" s="175"/>
      <c r="AK30" s="175"/>
      <c r="AL30" s="175"/>
      <c r="AM30" s="175"/>
      <c r="AN30" s="175"/>
      <c r="AO30" s="175">
        <f t="shared" si="10"/>
        <v>102505.34132</v>
      </c>
      <c r="AP30" s="176"/>
      <c r="AQ30" s="176"/>
      <c r="AR30" s="176"/>
      <c r="AS30" s="176"/>
      <c r="AT30" s="175">
        <f aca="true" t="shared" si="13" ref="AT30:AT40">AT29+AO30</f>
        <v>205010.68264</v>
      </c>
      <c r="AU30" s="176"/>
      <c r="AV30" s="176"/>
      <c r="AW30" s="176"/>
      <c r="AX30" s="176"/>
    </row>
    <row r="31" spans="1:50" ht="12.75">
      <c r="A31" s="4">
        <v>3</v>
      </c>
      <c r="B31" s="175">
        <f>B30+V4</f>
        <v>1018264.9800000001</v>
      </c>
      <c r="C31" s="176"/>
      <c r="D31" s="176"/>
      <c r="E31" s="176"/>
      <c r="F31" s="175">
        <f>(B31-B30)/100*22</f>
        <v>74672.76520000001</v>
      </c>
      <c r="G31" s="175"/>
      <c r="H31" s="175"/>
      <c r="I31" s="175"/>
      <c r="J31" s="175"/>
      <c r="K31" s="175"/>
      <c r="L31" s="175"/>
      <c r="M31" s="175"/>
      <c r="N31" s="175"/>
      <c r="O31" s="175">
        <f t="shared" si="11"/>
        <v>678.8433200000001</v>
      </c>
      <c r="P31" s="175"/>
      <c r="Q31" s="175"/>
      <c r="R31" s="175"/>
      <c r="S31" s="175"/>
      <c r="T31" s="175"/>
      <c r="U31" s="175">
        <f>(912000-B30)/100*2.9</f>
        <v>6761.543719999997</v>
      </c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>
        <f t="shared" si="12"/>
        <v>17310.50466</v>
      </c>
      <c r="AH31" s="175"/>
      <c r="AI31" s="175"/>
      <c r="AJ31" s="175"/>
      <c r="AK31" s="175"/>
      <c r="AL31" s="175"/>
      <c r="AM31" s="175"/>
      <c r="AN31" s="175"/>
      <c r="AO31" s="175">
        <f t="shared" si="10"/>
        <v>99423.6569</v>
      </c>
      <c r="AP31" s="176"/>
      <c r="AQ31" s="176"/>
      <c r="AR31" s="176"/>
      <c r="AS31" s="176"/>
      <c r="AT31" s="175">
        <f t="shared" si="13"/>
        <v>304434.33954</v>
      </c>
      <c r="AU31" s="176"/>
      <c r="AV31" s="176"/>
      <c r="AW31" s="176"/>
      <c r="AX31" s="176"/>
    </row>
    <row r="32" spans="1:50" ht="12.75">
      <c r="A32" s="4">
        <v>4</v>
      </c>
      <c r="B32" s="175">
        <f>B31+V4</f>
        <v>1357686.6400000001</v>
      </c>
      <c r="C32" s="176"/>
      <c r="D32" s="176"/>
      <c r="E32" s="176"/>
      <c r="F32" s="175">
        <f>(1292000-B31)/100*22</f>
        <v>60221.70439999997</v>
      </c>
      <c r="G32" s="175"/>
      <c r="H32" s="175"/>
      <c r="I32" s="175"/>
      <c r="J32" s="175"/>
      <c r="K32" s="175">
        <f>(B32-1292000)/100*10</f>
        <v>6568.6640000000125</v>
      </c>
      <c r="L32" s="175"/>
      <c r="M32" s="175"/>
      <c r="N32" s="175"/>
      <c r="O32" s="175">
        <f t="shared" si="11"/>
        <v>678.8433200000001</v>
      </c>
      <c r="P32" s="175"/>
      <c r="Q32" s="175"/>
      <c r="R32" s="175"/>
      <c r="S32" s="175"/>
      <c r="T32" s="175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5">
        <f t="shared" si="12"/>
        <v>17310.50466</v>
      </c>
      <c r="AH32" s="175"/>
      <c r="AI32" s="175"/>
      <c r="AJ32" s="175"/>
      <c r="AK32" s="175"/>
      <c r="AL32" s="175"/>
      <c r="AM32" s="175"/>
      <c r="AN32" s="175"/>
      <c r="AO32" s="175">
        <f t="shared" si="10"/>
        <v>84779.71637999998</v>
      </c>
      <c r="AP32" s="176"/>
      <c r="AQ32" s="176"/>
      <c r="AR32" s="176"/>
      <c r="AS32" s="176"/>
      <c r="AT32" s="175">
        <f t="shared" si="13"/>
        <v>389214.05592</v>
      </c>
      <c r="AU32" s="176"/>
      <c r="AV32" s="176"/>
      <c r="AW32" s="176"/>
      <c r="AX32" s="176"/>
    </row>
    <row r="33" spans="1:50" ht="12.75">
      <c r="A33" s="4">
        <v>5</v>
      </c>
      <c r="B33" s="175">
        <f>B32+V4</f>
        <v>1697108.3000000003</v>
      </c>
      <c r="C33" s="176"/>
      <c r="D33" s="176"/>
      <c r="E33" s="176"/>
      <c r="F33" s="176"/>
      <c r="G33" s="176"/>
      <c r="H33" s="176"/>
      <c r="I33" s="176"/>
      <c r="J33" s="176"/>
      <c r="K33" s="175">
        <f aca="true" t="shared" si="14" ref="K33:K40">(B33-B32)/100*10</f>
        <v>33942.16600000001</v>
      </c>
      <c r="L33" s="175"/>
      <c r="M33" s="175"/>
      <c r="N33" s="175"/>
      <c r="O33" s="175">
        <f t="shared" si="11"/>
        <v>678.8433200000004</v>
      </c>
      <c r="P33" s="175"/>
      <c r="Q33" s="175"/>
      <c r="R33" s="175"/>
      <c r="S33" s="175"/>
      <c r="T33" s="175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5">
        <f t="shared" si="12"/>
        <v>17310.504660000006</v>
      </c>
      <c r="AH33" s="175"/>
      <c r="AI33" s="175"/>
      <c r="AJ33" s="175"/>
      <c r="AK33" s="175"/>
      <c r="AL33" s="175"/>
      <c r="AM33" s="175"/>
      <c r="AN33" s="175"/>
      <c r="AO33" s="175">
        <f t="shared" si="10"/>
        <v>51931.51398000002</v>
      </c>
      <c r="AP33" s="176"/>
      <c r="AQ33" s="176"/>
      <c r="AR33" s="176"/>
      <c r="AS33" s="176"/>
      <c r="AT33" s="175">
        <f t="shared" si="13"/>
        <v>441145.5699</v>
      </c>
      <c r="AU33" s="176"/>
      <c r="AV33" s="176"/>
      <c r="AW33" s="176"/>
      <c r="AX33" s="176"/>
    </row>
    <row r="34" spans="1:50" ht="12.75">
      <c r="A34" s="4">
        <v>6</v>
      </c>
      <c r="B34" s="175">
        <f>B33+V4</f>
        <v>2036529.9600000004</v>
      </c>
      <c r="C34" s="176"/>
      <c r="D34" s="176"/>
      <c r="E34" s="176"/>
      <c r="F34" s="176"/>
      <c r="G34" s="176"/>
      <c r="H34" s="176"/>
      <c r="I34" s="176"/>
      <c r="J34" s="176"/>
      <c r="K34" s="175">
        <f t="shared" si="14"/>
        <v>33942.16600000001</v>
      </c>
      <c r="L34" s="175"/>
      <c r="M34" s="175"/>
      <c r="N34" s="175"/>
      <c r="O34" s="175">
        <f t="shared" si="11"/>
        <v>678.8433200000004</v>
      </c>
      <c r="P34" s="175"/>
      <c r="Q34" s="175"/>
      <c r="R34" s="175"/>
      <c r="S34" s="175"/>
      <c r="T34" s="175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5">
        <f t="shared" si="12"/>
        <v>17310.504660000006</v>
      </c>
      <c r="AH34" s="175"/>
      <c r="AI34" s="175"/>
      <c r="AJ34" s="175"/>
      <c r="AK34" s="175"/>
      <c r="AL34" s="175"/>
      <c r="AM34" s="175"/>
      <c r="AN34" s="175"/>
      <c r="AO34" s="175">
        <f t="shared" si="10"/>
        <v>51931.51398000002</v>
      </c>
      <c r="AP34" s="176"/>
      <c r="AQ34" s="176"/>
      <c r="AR34" s="176"/>
      <c r="AS34" s="176"/>
      <c r="AT34" s="175">
        <f t="shared" si="13"/>
        <v>493077.08388000005</v>
      </c>
      <c r="AU34" s="176"/>
      <c r="AV34" s="176"/>
      <c r="AW34" s="176"/>
      <c r="AX34" s="176"/>
    </row>
    <row r="35" spans="1:50" ht="12.75">
      <c r="A35" s="4">
        <v>7</v>
      </c>
      <c r="B35" s="175">
        <f>B34+V4</f>
        <v>2375951.6200000006</v>
      </c>
      <c r="C35" s="176"/>
      <c r="D35" s="176"/>
      <c r="E35" s="176"/>
      <c r="F35" s="176"/>
      <c r="G35" s="176"/>
      <c r="H35" s="176"/>
      <c r="I35" s="176"/>
      <c r="J35" s="176"/>
      <c r="K35" s="175">
        <f t="shared" si="14"/>
        <v>33942.16600000001</v>
      </c>
      <c r="L35" s="175"/>
      <c r="M35" s="175"/>
      <c r="N35" s="175"/>
      <c r="O35" s="175">
        <f t="shared" si="11"/>
        <v>678.8433200000004</v>
      </c>
      <c r="P35" s="175"/>
      <c r="Q35" s="175"/>
      <c r="R35" s="175"/>
      <c r="S35" s="175"/>
      <c r="T35" s="175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5">
        <f t="shared" si="12"/>
        <v>17310.504660000006</v>
      </c>
      <c r="AH35" s="175"/>
      <c r="AI35" s="175"/>
      <c r="AJ35" s="175"/>
      <c r="AK35" s="175"/>
      <c r="AL35" s="175"/>
      <c r="AM35" s="175"/>
      <c r="AN35" s="175"/>
      <c r="AO35" s="175">
        <f t="shared" si="10"/>
        <v>51931.51398000002</v>
      </c>
      <c r="AP35" s="176"/>
      <c r="AQ35" s="176"/>
      <c r="AR35" s="176"/>
      <c r="AS35" s="176"/>
      <c r="AT35" s="175">
        <f t="shared" si="13"/>
        <v>545008.5978600001</v>
      </c>
      <c r="AU35" s="176"/>
      <c r="AV35" s="176"/>
      <c r="AW35" s="176"/>
      <c r="AX35" s="176"/>
    </row>
    <row r="36" spans="1:50" ht="12.75">
      <c r="A36" s="4">
        <v>8</v>
      </c>
      <c r="B36" s="175">
        <f>B35+V4</f>
        <v>2715373.2800000007</v>
      </c>
      <c r="C36" s="176"/>
      <c r="D36" s="176"/>
      <c r="E36" s="176"/>
      <c r="F36" s="176"/>
      <c r="G36" s="176"/>
      <c r="H36" s="176"/>
      <c r="I36" s="176"/>
      <c r="J36" s="176"/>
      <c r="K36" s="175">
        <f t="shared" si="14"/>
        <v>33942.16600000001</v>
      </c>
      <c r="L36" s="175"/>
      <c r="M36" s="175"/>
      <c r="N36" s="175"/>
      <c r="O36" s="175">
        <f t="shared" si="11"/>
        <v>678.8433200000004</v>
      </c>
      <c r="P36" s="175"/>
      <c r="Q36" s="175"/>
      <c r="R36" s="175"/>
      <c r="S36" s="175"/>
      <c r="T36" s="175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5">
        <f t="shared" si="12"/>
        <v>17310.504660000006</v>
      </c>
      <c r="AH36" s="175"/>
      <c r="AI36" s="175"/>
      <c r="AJ36" s="175"/>
      <c r="AK36" s="175"/>
      <c r="AL36" s="175"/>
      <c r="AM36" s="175"/>
      <c r="AN36" s="175"/>
      <c r="AO36" s="175">
        <f t="shared" si="10"/>
        <v>51931.51398000002</v>
      </c>
      <c r="AP36" s="176"/>
      <c r="AQ36" s="176"/>
      <c r="AR36" s="176"/>
      <c r="AS36" s="176"/>
      <c r="AT36" s="175">
        <f t="shared" si="13"/>
        <v>596940.1118400001</v>
      </c>
      <c r="AU36" s="176"/>
      <c r="AV36" s="176"/>
      <c r="AW36" s="176"/>
      <c r="AX36" s="176"/>
    </row>
    <row r="37" spans="1:50" ht="12.75">
      <c r="A37" s="4">
        <v>9</v>
      </c>
      <c r="B37" s="175">
        <f>B36+V4</f>
        <v>3054794.940000001</v>
      </c>
      <c r="C37" s="176"/>
      <c r="D37" s="176"/>
      <c r="E37" s="176"/>
      <c r="F37" s="176"/>
      <c r="G37" s="176"/>
      <c r="H37" s="176"/>
      <c r="I37" s="176"/>
      <c r="J37" s="176"/>
      <c r="K37" s="175">
        <f t="shared" si="14"/>
        <v>33942.16600000001</v>
      </c>
      <c r="L37" s="175"/>
      <c r="M37" s="175"/>
      <c r="N37" s="175"/>
      <c r="O37" s="175">
        <f t="shared" si="11"/>
        <v>678.8433200000004</v>
      </c>
      <c r="P37" s="175"/>
      <c r="Q37" s="175"/>
      <c r="R37" s="175"/>
      <c r="S37" s="175"/>
      <c r="T37" s="175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5">
        <f t="shared" si="12"/>
        <v>17310.504660000006</v>
      </c>
      <c r="AH37" s="175"/>
      <c r="AI37" s="175"/>
      <c r="AJ37" s="175"/>
      <c r="AK37" s="175"/>
      <c r="AL37" s="175"/>
      <c r="AM37" s="175"/>
      <c r="AN37" s="175"/>
      <c r="AO37" s="175">
        <f t="shared" si="10"/>
        <v>51931.51398000002</v>
      </c>
      <c r="AP37" s="176"/>
      <c r="AQ37" s="176"/>
      <c r="AR37" s="176"/>
      <c r="AS37" s="176"/>
      <c r="AT37" s="175">
        <f t="shared" si="13"/>
        <v>648871.6258200002</v>
      </c>
      <c r="AU37" s="176"/>
      <c r="AV37" s="176"/>
      <c r="AW37" s="176"/>
      <c r="AX37" s="176"/>
    </row>
    <row r="38" spans="1:50" ht="12.75">
      <c r="A38" s="4">
        <v>10</v>
      </c>
      <c r="B38" s="175">
        <f>B37+V4</f>
        <v>3394216.600000001</v>
      </c>
      <c r="C38" s="176"/>
      <c r="D38" s="176"/>
      <c r="E38" s="176"/>
      <c r="F38" s="176"/>
      <c r="G38" s="176"/>
      <c r="H38" s="176"/>
      <c r="I38" s="176"/>
      <c r="J38" s="176"/>
      <c r="K38" s="175">
        <f t="shared" si="14"/>
        <v>33942.16600000001</v>
      </c>
      <c r="L38" s="175"/>
      <c r="M38" s="175"/>
      <c r="N38" s="175"/>
      <c r="O38" s="175">
        <f t="shared" si="11"/>
        <v>678.8433200000004</v>
      </c>
      <c r="P38" s="175"/>
      <c r="Q38" s="175"/>
      <c r="R38" s="175"/>
      <c r="S38" s="175"/>
      <c r="T38" s="175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5">
        <f t="shared" si="12"/>
        <v>17310.504660000006</v>
      </c>
      <c r="AH38" s="175"/>
      <c r="AI38" s="175"/>
      <c r="AJ38" s="175"/>
      <c r="AK38" s="175"/>
      <c r="AL38" s="175"/>
      <c r="AM38" s="175"/>
      <c r="AN38" s="175"/>
      <c r="AO38" s="175">
        <f t="shared" si="10"/>
        <v>51931.51398000002</v>
      </c>
      <c r="AP38" s="176"/>
      <c r="AQ38" s="176"/>
      <c r="AR38" s="176"/>
      <c r="AS38" s="176"/>
      <c r="AT38" s="175">
        <f t="shared" si="13"/>
        <v>700803.1398000002</v>
      </c>
      <c r="AU38" s="176"/>
      <c r="AV38" s="176"/>
      <c r="AW38" s="176"/>
      <c r="AX38" s="176"/>
    </row>
    <row r="39" spans="1:50" ht="12.75">
      <c r="A39" s="4">
        <v>11</v>
      </c>
      <c r="B39" s="175">
        <f>B38+V4</f>
        <v>3733638.260000001</v>
      </c>
      <c r="C39" s="176"/>
      <c r="D39" s="176"/>
      <c r="E39" s="176"/>
      <c r="F39" s="176"/>
      <c r="G39" s="176"/>
      <c r="H39" s="176"/>
      <c r="I39" s="176"/>
      <c r="J39" s="176"/>
      <c r="K39" s="175">
        <f t="shared" si="14"/>
        <v>33942.16600000001</v>
      </c>
      <c r="L39" s="175"/>
      <c r="M39" s="175"/>
      <c r="N39" s="175"/>
      <c r="O39" s="175">
        <f t="shared" si="11"/>
        <v>678.8433200000004</v>
      </c>
      <c r="P39" s="175"/>
      <c r="Q39" s="175"/>
      <c r="R39" s="175"/>
      <c r="S39" s="175"/>
      <c r="T39" s="175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5">
        <f t="shared" si="12"/>
        <v>17310.504660000006</v>
      </c>
      <c r="AH39" s="175"/>
      <c r="AI39" s="175"/>
      <c r="AJ39" s="175"/>
      <c r="AK39" s="175"/>
      <c r="AL39" s="175"/>
      <c r="AM39" s="175"/>
      <c r="AN39" s="175"/>
      <c r="AO39" s="175">
        <f t="shared" si="10"/>
        <v>51931.51398000002</v>
      </c>
      <c r="AP39" s="176"/>
      <c r="AQ39" s="176"/>
      <c r="AR39" s="176"/>
      <c r="AS39" s="176"/>
      <c r="AT39" s="175">
        <f t="shared" si="13"/>
        <v>752734.6537800003</v>
      </c>
      <c r="AU39" s="176"/>
      <c r="AV39" s="176"/>
      <c r="AW39" s="176"/>
      <c r="AX39" s="176"/>
    </row>
    <row r="40" spans="1:50" ht="12.75">
      <c r="A40" s="4">
        <v>12</v>
      </c>
      <c r="B40" s="175">
        <f>B39+V4</f>
        <v>4073059.9200000013</v>
      </c>
      <c r="C40" s="176"/>
      <c r="D40" s="176"/>
      <c r="E40" s="176"/>
      <c r="F40" s="176"/>
      <c r="G40" s="176"/>
      <c r="H40" s="176"/>
      <c r="I40" s="176"/>
      <c r="J40" s="176"/>
      <c r="K40" s="175">
        <f t="shared" si="14"/>
        <v>33942.16600000001</v>
      </c>
      <c r="L40" s="175"/>
      <c r="M40" s="175"/>
      <c r="N40" s="175"/>
      <c r="O40" s="175">
        <f t="shared" si="11"/>
        <v>678.8433200000004</v>
      </c>
      <c r="P40" s="175"/>
      <c r="Q40" s="175"/>
      <c r="R40" s="175"/>
      <c r="S40" s="175"/>
      <c r="T40" s="175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5">
        <f t="shared" si="12"/>
        <v>17310.504660000006</v>
      </c>
      <c r="AH40" s="175"/>
      <c r="AI40" s="175"/>
      <c r="AJ40" s="175"/>
      <c r="AK40" s="175"/>
      <c r="AL40" s="175"/>
      <c r="AM40" s="175"/>
      <c r="AN40" s="175"/>
      <c r="AO40" s="175">
        <f t="shared" si="10"/>
        <v>51931.51398000002</v>
      </c>
      <c r="AP40" s="176"/>
      <c r="AQ40" s="176"/>
      <c r="AR40" s="176"/>
      <c r="AS40" s="176"/>
      <c r="AT40" s="175">
        <f t="shared" si="13"/>
        <v>804666.1677600003</v>
      </c>
      <c r="AU40" s="176"/>
      <c r="AV40" s="176"/>
      <c r="AW40" s="176"/>
      <c r="AX40" s="176"/>
    </row>
    <row r="41" spans="1:50" ht="18">
      <c r="A41" s="179" t="s">
        <v>30</v>
      </c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</row>
    <row r="42" spans="1:50" ht="12.75">
      <c r="A42" s="178" t="s">
        <v>26</v>
      </c>
      <c r="B42" s="178" t="s">
        <v>27</v>
      </c>
      <c r="C42" s="178"/>
      <c r="D42" s="178"/>
      <c r="E42" s="178"/>
      <c r="F42" s="178" t="s">
        <v>19</v>
      </c>
      <c r="G42" s="178"/>
      <c r="H42" s="178"/>
      <c r="I42" s="178"/>
      <c r="J42" s="178"/>
      <c r="K42" s="178"/>
      <c r="L42" s="178"/>
      <c r="M42" s="178"/>
      <c r="N42" s="178"/>
      <c r="O42" s="178" t="s">
        <v>20</v>
      </c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 t="s">
        <v>22</v>
      </c>
      <c r="AH42" s="178"/>
      <c r="AI42" s="178"/>
      <c r="AJ42" s="178"/>
      <c r="AK42" s="178"/>
      <c r="AL42" s="178"/>
      <c r="AM42" s="178"/>
      <c r="AN42" s="178"/>
      <c r="AO42" s="178" t="s">
        <v>28</v>
      </c>
      <c r="AP42" s="178"/>
      <c r="AQ42" s="178"/>
      <c r="AR42" s="178"/>
      <c r="AS42" s="178"/>
      <c r="AT42" s="178" t="s">
        <v>29</v>
      </c>
      <c r="AU42" s="178"/>
      <c r="AV42" s="178"/>
      <c r="AW42" s="178"/>
      <c r="AX42" s="178"/>
    </row>
    <row r="43" spans="1:50" ht="12.75">
      <c r="A43" s="178"/>
      <c r="B43" s="178"/>
      <c r="C43" s="178"/>
      <c r="D43" s="178"/>
      <c r="E43" s="178"/>
      <c r="F43" s="178" t="s">
        <v>494</v>
      </c>
      <c r="G43" s="178"/>
      <c r="H43" s="178"/>
      <c r="I43" s="178"/>
      <c r="J43" s="178"/>
      <c r="K43" s="178" t="s">
        <v>495</v>
      </c>
      <c r="L43" s="178"/>
      <c r="M43" s="178"/>
      <c r="N43" s="178"/>
      <c r="O43" s="178" t="s">
        <v>21</v>
      </c>
      <c r="P43" s="178"/>
      <c r="Q43" s="178"/>
      <c r="R43" s="178"/>
      <c r="S43" s="178"/>
      <c r="T43" s="178"/>
      <c r="U43" s="178" t="s">
        <v>496</v>
      </c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</row>
    <row r="44" spans="1:50" ht="12.75">
      <c r="A44" s="4">
        <v>1</v>
      </c>
      <c r="B44" s="175">
        <f>V5</f>
        <v>151770.56</v>
      </c>
      <c r="C44" s="176"/>
      <c r="D44" s="176"/>
      <c r="E44" s="176"/>
      <c r="F44" s="175">
        <f>B44/100*22</f>
        <v>33389.5232</v>
      </c>
      <c r="G44" s="175"/>
      <c r="H44" s="175"/>
      <c r="I44" s="175"/>
      <c r="J44" s="175"/>
      <c r="K44" s="176"/>
      <c r="L44" s="176"/>
      <c r="M44" s="176"/>
      <c r="N44" s="176"/>
      <c r="O44" s="175">
        <f>B44/100*0.2</f>
        <v>303.54112000000003</v>
      </c>
      <c r="P44" s="175"/>
      <c r="Q44" s="175"/>
      <c r="R44" s="175"/>
      <c r="S44" s="175"/>
      <c r="T44" s="175"/>
      <c r="U44" s="175">
        <f>B44/100*2.9</f>
        <v>4401.34624</v>
      </c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>
        <f>B44/100*5.1</f>
        <v>7740.298559999999</v>
      </c>
      <c r="AH44" s="175"/>
      <c r="AI44" s="175"/>
      <c r="AJ44" s="175"/>
      <c r="AK44" s="175"/>
      <c r="AL44" s="175"/>
      <c r="AM44" s="175"/>
      <c r="AN44" s="175"/>
      <c r="AO44" s="175">
        <f aca="true" t="shared" si="15" ref="AO44:AO55">AG44+U44+O44+K44+F44</f>
        <v>45834.70912</v>
      </c>
      <c r="AP44" s="176"/>
      <c r="AQ44" s="176"/>
      <c r="AR44" s="176"/>
      <c r="AS44" s="176"/>
      <c r="AT44" s="175">
        <f>AO44</f>
        <v>45834.70912</v>
      </c>
      <c r="AU44" s="176"/>
      <c r="AV44" s="176"/>
      <c r="AW44" s="176"/>
      <c r="AX44" s="176"/>
    </row>
    <row r="45" spans="1:50" ht="12.75">
      <c r="A45" s="4">
        <v>2</v>
      </c>
      <c r="B45" s="175">
        <f>B44+V5</f>
        <v>303541.12</v>
      </c>
      <c r="C45" s="176"/>
      <c r="D45" s="176"/>
      <c r="E45" s="176"/>
      <c r="F45" s="175">
        <f aca="true" t="shared" si="16" ref="F45:F50">(B45-B44)/100*22</f>
        <v>33389.5232</v>
      </c>
      <c r="G45" s="175"/>
      <c r="H45" s="175"/>
      <c r="I45" s="175"/>
      <c r="J45" s="175"/>
      <c r="K45" s="176"/>
      <c r="L45" s="176"/>
      <c r="M45" s="176"/>
      <c r="N45" s="176"/>
      <c r="O45" s="175">
        <f aca="true" t="shared" si="17" ref="O45:O55">(B45-B44)/100*0.2</f>
        <v>303.54112000000003</v>
      </c>
      <c r="P45" s="175"/>
      <c r="Q45" s="175"/>
      <c r="R45" s="175"/>
      <c r="S45" s="175"/>
      <c r="T45" s="175"/>
      <c r="U45" s="175">
        <f>(B45-B44)/100*2.9</f>
        <v>4401.34624</v>
      </c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>
        <f aca="true" t="shared" si="18" ref="AG45:AG55">(B45-B44)/100*5.1</f>
        <v>7740.298559999999</v>
      </c>
      <c r="AH45" s="175"/>
      <c r="AI45" s="175"/>
      <c r="AJ45" s="175"/>
      <c r="AK45" s="175"/>
      <c r="AL45" s="175"/>
      <c r="AM45" s="175"/>
      <c r="AN45" s="175"/>
      <c r="AO45" s="175">
        <f t="shared" si="15"/>
        <v>45834.70912</v>
      </c>
      <c r="AP45" s="176"/>
      <c r="AQ45" s="176"/>
      <c r="AR45" s="176"/>
      <c r="AS45" s="176"/>
      <c r="AT45" s="175">
        <f aca="true" t="shared" si="19" ref="AT45:AT55">AT44+AO45</f>
        <v>91669.41824</v>
      </c>
      <c r="AU45" s="176"/>
      <c r="AV45" s="176"/>
      <c r="AW45" s="176"/>
      <c r="AX45" s="176"/>
    </row>
    <row r="46" spans="1:50" ht="12.75">
      <c r="A46" s="4">
        <v>3</v>
      </c>
      <c r="B46" s="175">
        <f>B45+V5</f>
        <v>455311.68</v>
      </c>
      <c r="C46" s="176"/>
      <c r="D46" s="176"/>
      <c r="E46" s="176"/>
      <c r="F46" s="175">
        <f t="shared" si="16"/>
        <v>33389.5232</v>
      </c>
      <c r="G46" s="175"/>
      <c r="H46" s="175"/>
      <c r="I46" s="175"/>
      <c r="J46" s="175"/>
      <c r="K46" s="175"/>
      <c r="L46" s="175"/>
      <c r="M46" s="175"/>
      <c r="N46" s="175"/>
      <c r="O46" s="175">
        <f t="shared" si="17"/>
        <v>303.54112000000003</v>
      </c>
      <c r="P46" s="175"/>
      <c r="Q46" s="175"/>
      <c r="R46" s="175"/>
      <c r="S46" s="175"/>
      <c r="T46" s="175"/>
      <c r="U46" s="175">
        <f>(B46-B45)/100*2.9</f>
        <v>4401.34624</v>
      </c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>
        <f t="shared" si="18"/>
        <v>7740.298559999999</v>
      </c>
      <c r="AH46" s="175"/>
      <c r="AI46" s="175"/>
      <c r="AJ46" s="175"/>
      <c r="AK46" s="175"/>
      <c r="AL46" s="175"/>
      <c r="AM46" s="175"/>
      <c r="AN46" s="175"/>
      <c r="AO46" s="175">
        <f t="shared" si="15"/>
        <v>45834.70912</v>
      </c>
      <c r="AP46" s="176"/>
      <c r="AQ46" s="176"/>
      <c r="AR46" s="176"/>
      <c r="AS46" s="176"/>
      <c r="AT46" s="175">
        <f t="shared" si="19"/>
        <v>137504.12735999998</v>
      </c>
      <c r="AU46" s="176"/>
      <c r="AV46" s="176"/>
      <c r="AW46" s="176"/>
      <c r="AX46" s="176"/>
    </row>
    <row r="47" spans="1:50" ht="12.75">
      <c r="A47" s="4">
        <v>4</v>
      </c>
      <c r="B47" s="175">
        <f>B46+V5</f>
        <v>607082.24</v>
      </c>
      <c r="C47" s="176"/>
      <c r="D47" s="176"/>
      <c r="E47" s="176"/>
      <c r="F47" s="175">
        <f t="shared" si="16"/>
        <v>33389.5232</v>
      </c>
      <c r="G47" s="175"/>
      <c r="H47" s="175"/>
      <c r="I47" s="175"/>
      <c r="J47" s="175"/>
      <c r="K47" s="175"/>
      <c r="L47" s="175"/>
      <c r="M47" s="175"/>
      <c r="N47" s="175"/>
      <c r="O47" s="175">
        <f t="shared" si="17"/>
        <v>303.54112000000003</v>
      </c>
      <c r="P47" s="175"/>
      <c r="Q47" s="175"/>
      <c r="R47" s="175"/>
      <c r="S47" s="175"/>
      <c r="T47" s="175"/>
      <c r="U47" s="175">
        <f>(B47-B46)/100*2.9</f>
        <v>4401.34624</v>
      </c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>
        <f t="shared" si="18"/>
        <v>7740.298559999999</v>
      </c>
      <c r="AH47" s="175"/>
      <c r="AI47" s="175"/>
      <c r="AJ47" s="175"/>
      <c r="AK47" s="175"/>
      <c r="AL47" s="175"/>
      <c r="AM47" s="175"/>
      <c r="AN47" s="175"/>
      <c r="AO47" s="175">
        <f t="shared" si="15"/>
        <v>45834.70912</v>
      </c>
      <c r="AP47" s="176"/>
      <c r="AQ47" s="176"/>
      <c r="AR47" s="176"/>
      <c r="AS47" s="176"/>
      <c r="AT47" s="175">
        <f t="shared" si="19"/>
        <v>183338.83648</v>
      </c>
      <c r="AU47" s="176"/>
      <c r="AV47" s="176"/>
      <c r="AW47" s="176"/>
      <c r="AX47" s="176"/>
    </row>
    <row r="48" spans="1:50" ht="12.75">
      <c r="A48" s="4">
        <v>5</v>
      </c>
      <c r="B48" s="175">
        <f>B47+V5</f>
        <v>758852.8</v>
      </c>
      <c r="C48" s="176"/>
      <c r="D48" s="176"/>
      <c r="E48" s="176"/>
      <c r="F48" s="175">
        <f t="shared" si="16"/>
        <v>33389.52320000001</v>
      </c>
      <c r="G48" s="175"/>
      <c r="H48" s="175"/>
      <c r="I48" s="175"/>
      <c r="J48" s="175"/>
      <c r="K48" s="175"/>
      <c r="L48" s="175"/>
      <c r="M48" s="175"/>
      <c r="N48" s="175"/>
      <c r="O48" s="175">
        <f t="shared" si="17"/>
        <v>303.5411200000001</v>
      </c>
      <c r="P48" s="175"/>
      <c r="Q48" s="175"/>
      <c r="R48" s="175"/>
      <c r="S48" s="175"/>
      <c r="T48" s="175"/>
      <c r="U48" s="175">
        <f>(B48-B47)/100*2.9</f>
        <v>4401.346240000001</v>
      </c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>
        <f t="shared" si="18"/>
        <v>7740.298560000002</v>
      </c>
      <c r="AH48" s="175"/>
      <c r="AI48" s="175"/>
      <c r="AJ48" s="175"/>
      <c r="AK48" s="175"/>
      <c r="AL48" s="175"/>
      <c r="AM48" s="175"/>
      <c r="AN48" s="175"/>
      <c r="AO48" s="175">
        <f t="shared" si="15"/>
        <v>45834.709120000014</v>
      </c>
      <c r="AP48" s="176"/>
      <c r="AQ48" s="176"/>
      <c r="AR48" s="176"/>
      <c r="AS48" s="176"/>
      <c r="AT48" s="175">
        <f t="shared" si="19"/>
        <v>229173.5456</v>
      </c>
      <c r="AU48" s="176"/>
      <c r="AV48" s="176"/>
      <c r="AW48" s="176"/>
      <c r="AX48" s="176"/>
    </row>
    <row r="49" spans="1:50" ht="12.75">
      <c r="A49" s="4">
        <v>6</v>
      </c>
      <c r="B49" s="175">
        <f>B48+V5</f>
        <v>910623.3600000001</v>
      </c>
      <c r="C49" s="176"/>
      <c r="D49" s="176"/>
      <c r="E49" s="176"/>
      <c r="F49" s="175">
        <f t="shared" si="16"/>
        <v>33389.52320000001</v>
      </c>
      <c r="G49" s="175"/>
      <c r="H49" s="175"/>
      <c r="I49" s="175"/>
      <c r="J49" s="175"/>
      <c r="K49" s="175"/>
      <c r="L49" s="175"/>
      <c r="M49" s="175"/>
      <c r="N49" s="175"/>
      <c r="O49" s="175">
        <f t="shared" si="17"/>
        <v>303.5411200000001</v>
      </c>
      <c r="P49" s="175"/>
      <c r="Q49" s="175"/>
      <c r="R49" s="175"/>
      <c r="S49" s="175"/>
      <c r="T49" s="175"/>
      <c r="U49" s="175">
        <f>(B49-B48)/100*2.9</f>
        <v>4401.346240000001</v>
      </c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>
        <f t="shared" si="18"/>
        <v>7740.298560000002</v>
      </c>
      <c r="AH49" s="175"/>
      <c r="AI49" s="175"/>
      <c r="AJ49" s="175"/>
      <c r="AK49" s="175"/>
      <c r="AL49" s="175"/>
      <c r="AM49" s="175"/>
      <c r="AN49" s="175"/>
      <c r="AO49" s="175">
        <f t="shared" si="15"/>
        <v>45834.709120000014</v>
      </c>
      <c r="AP49" s="176"/>
      <c r="AQ49" s="176"/>
      <c r="AR49" s="176"/>
      <c r="AS49" s="176"/>
      <c r="AT49" s="175">
        <f t="shared" si="19"/>
        <v>275008.25472</v>
      </c>
      <c r="AU49" s="176"/>
      <c r="AV49" s="176"/>
      <c r="AW49" s="176"/>
      <c r="AX49" s="176"/>
    </row>
    <row r="50" spans="1:50" ht="12.75">
      <c r="A50" s="4">
        <v>7</v>
      </c>
      <c r="B50" s="175">
        <f>B49+V5</f>
        <v>1062393.9200000002</v>
      </c>
      <c r="C50" s="176"/>
      <c r="D50" s="176"/>
      <c r="E50" s="176"/>
      <c r="F50" s="175">
        <f t="shared" si="16"/>
        <v>33389.52320000001</v>
      </c>
      <c r="G50" s="175"/>
      <c r="H50" s="175"/>
      <c r="I50" s="175"/>
      <c r="J50" s="175"/>
      <c r="K50" s="175"/>
      <c r="L50" s="175"/>
      <c r="M50" s="175"/>
      <c r="N50" s="175"/>
      <c r="O50" s="175">
        <f t="shared" si="17"/>
        <v>303.5411200000001</v>
      </c>
      <c r="P50" s="175"/>
      <c r="Q50" s="175"/>
      <c r="R50" s="175"/>
      <c r="S50" s="175"/>
      <c r="T50" s="175"/>
      <c r="U50" s="175">
        <f>(912000-B49)/100*2.9</f>
        <v>39.92255999999703</v>
      </c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>
        <f t="shared" si="18"/>
        <v>7740.298560000002</v>
      </c>
      <c r="AH50" s="175"/>
      <c r="AI50" s="175"/>
      <c r="AJ50" s="175"/>
      <c r="AK50" s="175"/>
      <c r="AL50" s="175"/>
      <c r="AM50" s="175"/>
      <c r="AN50" s="175"/>
      <c r="AO50" s="175">
        <f t="shared" si="15"/>
        <v>41473.28544000001</v>
      </c>
      <c r="AP50" s="176"/>
      <c r="AQ50" s="176"/>
      <c r="AR50" s="176"/>
      <c r="AS50" s="176"/>
      <c r="AT50" s="175">
        <f t="shared" si="19"/>
        <v>316481.54016000003</v>
      </c>
      <c r="AU50" s="176"/>
      <c r="AV50" s="176"/>
      <c r="AW50" s="176"/>
      <c r="AX50" s="176"/>
    </row>
    <row r="51" spans="1:50" ht="12.75">
      <c r="A51" s="4">
        <v>8</v>
      </c>
      <c r="B51" s="175">
        <f>B50+V5</f>
        <v>1214164.4800000002</v>
      </c>
      <c r="C51" s="176"/>
      <c r="D51" s="176"/>
      <c r="E51" s="176"/>
      <c r="F51" s="175">
        <f>(1292000-B50)/100*22</f>
        <v>50513.33759999996</v>
      </c>
      <c r="G51" s="175"/>
      <c r="H51" s="175"/>
      <c r="I51" s="175"/>
      <c r="J51" s="175"/>
      <c r="K51" s="180"/>
      <c r="L51" s="181"/>
      <c r="M51" s="181"/>
      <c r="N51" s="182"/>
      <c r="O51" s="175">
        <f t="shared" si="17"/>
        <v>303.5411200000001</v>
      </c>
      <c r="P51" s="175"/>
      <c r="Q51" s="175"/>
      <c r="R51" s="175"/>
      <c r="S51" s="175"/>
      <c r="T51" s="175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5">
        <f t="shared" si="18"/>
        <v>7740.298560000002</v>
      </c>
      <c r="AH51" s="175"/>
      <c r="AI51" s="175"/>
      <c r="AJ51" s="175"/>
      <c r="AK51" s="175"/>
      <c r="AL51" s="175"/>
      <c r="AM51" s="175"/>
      <c r="AN51" s="175"/>
      <c r="AO51" s="175">
        <f t="shared" si="15"/>
        <v>58557.17727999997</v>
      </c>
      <c r="AP51" s="176"/>
      <c r="AQ51" s="176"/>
      <c r="AR51" s="176"/>
      <c r="AS51" s="176"/>
      <c r="AT51" s="175">
        <f t="shared" si="19"/>
        <v>375038.71744</v>
      </c>
      <c r="AU51" s="176"/>
      <c r="AV51" s="176"/>
      <c r="AW51" s="176"/>
      <c r="AX51" s="176"/>
    </row>
    <row r="52" spans="1:50" ht="12.75">
      <c r="A52" s="4">
        <v>9</v>
      </c>
      <c r="B52" s="175">
        <f>B51+V5</f>
        <v>1365935.0400000003</v>
      </c>
      <c r="C52" s="176"/>
      <c r="D52" s="176"/>
      <c r="E52" s="176"/>
      <c r="F52" s="175">
        <f>(1292000-B51)/100*22</f>
        <v>17123.814399999952</v>
      </c>
      <c r="G52" s="175"/>
      <c r="H52" s="175"/>
      <c r="I52" s="175"/>
      <c r="J52" s="175"/>
      <c r="K52" s="175">
        <f>(B52-1292000)/100*10</f>
        <v>7393.504000000026</v>
      </c>
      <c r="L52" s="175"/>
      <c r="M52" s="175"/>
      <c r="N52" s="175"/>
      <c r="O52" s="175">
        <f t="shared" si="17"/>
        <v>303.5411200000001</v>
      </c>
      <c r="P52" s="175"/>
      <c r="Q52" s="175"/>
      <c r="R52" s="175"/>
      <c r="S52" s="175"/>
      <c r="T52" s="175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5">
        <f t="shared" si="18"/>
        <v>7740.298560000002</v>
      </c>
      <c r="AH52" s="175"/>
      <c r="AI52" s="175"/>
      <c r="AJ52" s="175"/>
      <c r="AK52" s="175"/>
      <c r="AL52" s="175"/>
      <c r="AM52" s="175"/>
      <c r="AN52" s="175"/>
      <c r="AO52" s="175">
        <f t="shared" si="15"/>
        <v>32561.15807999998</v>
      </c>
      <c r="AP52" s="176"/>
      <c r="AQ52" s="176"/>
      <c r="AR52" s="176"/>
      <c r="AS52" s="176"/>
      <c r="AT52" s="175">
        <f t="shared" si="19"/>
        <v>407599.87551999994</v>
      </c>
      <c r="AU52" s="176"/>
      <c r="AV52" s="176"/>
      <c r="AW52" s="176"/>
      <c r="AX52" s="176"/>
    </row>
    <row r="53" spans="1:50" ht="12.75">
      <c r="A53" s="4">
        <v>10</v>
      </c>
      <c r="B53" s="175">
        <f>B52+V5</f>
        <v>1517705.6000000003</v>
      </c>
      <c r="C53" s="176"/>
      <c r="D53" s="176"/>
      <c r="E53" s="176"/>
      <c r="F53" s="176"/>
      <c r="G53" s="176"/>
      <c r="H53" s="176"/>
      <c r="I53" s="176"/>
      <c r="J53" s="176"/>
      <c r="K53" s="175">
        <f>(B53-B52)/100*10</f>
        <v>15177.056000000004</v>
      </c>
      <c r="L53" s="175"/>
      <c r="M53" s="175"/>
      <c r="N53" s="175"/>
      <c r="O53" s="175">
        <f t="shared" si="17"/>
        <v>303.5411200000001</v>
      </c>
      <c r="P53" s="175"/>
      <c r="Q53" s="175"/>
      <c r="R53" s="175"/>
      <c r="S53" s="175"/>
      <c r="T53" s="175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5">
        <f t="shared" si="18"/>
        <v>7740.298560000002</v>
      </c>
      <c r="AH53" s="175"/>
      <c r="AI53" s="175"/>
      <c r="AJ53" s="175"/>
      <c r="AK53" s="175"/>
      <c r="AL53" s="175"/>
      <c r="AM53" s="175"/>
      <c r="AN53" s="175"/>
      <c r="AO53" s="175">
        <f t="shared" si="15"/>
        <v>23220.895680000005</v>
      </c>
      <c r="AP53" s="176"/>
      <c r="AQ53" s="176"/>
      <c r="AR53" s="176"/>
      <c r="AS53" s="176"/>
      <c r="AT53" s="175">
        <f t="shared" si="19"/>
        <v>430820.77119999996</v>
      </c>
      <c r="AU53" s="176"/>
      <c r="AV53" s="176"/>
      <c r="AW53" s="176"/>
      <c r="AX53" s="176"/>
    </row>
    <row r="54" spans="1:50" ht="12.75">
      <c r="A54" s="4">
        <v>11</v>
      </c>
      <c r="B54" s="175">
        <f>B53+V5</f>
        <v>1669476.1600000004</v>
      </c>
      <c r="C54" s="176"/>
      <c r="D54" s="176"/>
      <c r="E54" s="176"/>
      <c r="F54" s="176"/>
      <c r="G54" s="176"/>
      <c r="H54" s="176"/>
      <c r="I54" s="176"/>
      <c r="J54" s="176"/>
      <c r="K54" s="175">
        <f>(B54-B53)/100*10</f>
        <v>15177.056000000004</v>
      </c>
      <c r="L54" s="175"/>
      <c r="M54" s="175"/>
      <c r="N54" s="175"/>
      <c r="O54" s="175">
        <f t="shared" si="17"/>
        <v>303.5411200000001</v>
      </c>
      <c r="P54" s="175"/>
      <c r="Q54" s="175"/>
      <c r="R54" s="175"/>
      <c r="S54" s="175"/>
      <c r="T54" s="175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5">
        <f t="shared" si="18"/>
        <v>7740.298560000002</v>
      </c>
      <c r="AH54" s="175"/>
      <c r="AI54" s="175"/>
      <c r="AJ54" s="175"/>
      <c r="AK54" s="175"/>
      <c r="AL54" s="175"/>
      <c r="AM54" s="175"/>
      <c r="AN54" s="175"/>
      <c r="AO54" s="175">
        <f t="shared" si="15"/>
        <v>23220.895680000005</v>
      </c>
      <c r="AP54" s="176"/>
      <c r="AQ54" s="176"/>
      <c r="AR54" s="176"/>
      <c r="AS54" s="176"/>
      <c r="AT54" s="175">
        <f t="shared" si="19"/>
        <v>454041.66688</v>
      </c>
      <c r="AU54" s="176"/>
      <c r="AV54" s="176"/>
      <c r="AW54" s="176"/>
      <c r="AX54" s="176"/>
    </row>
    <row r="55" spans="1:50" ht="12.75">
      <c r="A55" s="4">
        <v>12</v>
      </c>
      <c r="B55" s="175">
        <f>B54+V5</f>
        <v>1821246.7200000004</v>
      </c>
      <c r="C55" s="176"/>
      <c r="D55" s="176"/>
      <c r="E55" s="176"/>
      <c r="F55" s="176"/>
      <c r="G55" s="176"/>
      <c r="H55" s="176"/>
      <c r="I55" s="176"/>
      <c r="J55" s="176"/>
      <c r="K55" s="175">
        <f>(B55-B54)/100*10</f>
        <v>15177.056000000004</v>
      </c>
      <c r="L55" s="175"/>
      <c r="M55" s="175"/>
      <c r="N55" s="175"/>
      <c r="O55" s="175">
        <f t="shared" si="17"/>
        <v>303.5411200000001</v>
      </c>
      <c r="P55" s="175"/>
      <c r="Q55" s="175"/>
      <c r="R55" s="175"/>
      <c r="S55" s="175"/>
      <c r="T55" s="175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5">
        <f t="shared" si="18"/>
        <v>7740.298560000002</v>
      </c>
      <c r="AH55" s="175"/>
      <c r="AI55" s="175"/>
      <c r="AJ55" s="175"/>
      <c r="AK55" s="175"/>
      <c r="AL55" s="175"/>
      <c r="AM55" s="175"/>
      <c r="AN55" s="175"/>
      <c r="AO55" s="175">
        <f t="shared" si="15"/>
        <v>23220.895680000005</v>
      </c>
      <c r="AP55" s="176"/>
      <c r="AQ55" s="176"/>
      <c r="AR55" s="176"/>
      <c r="AS55" s="176"/>
      <c r="AT55" s="175">
        <f t="shared" si="19"/>
        <v>477262.56256</v>
      </c>
      <c r="AU55" s="176"/>
      <c r="AV55" s="176"/>
      <c r="AW55" s="176"/>
      <c r="AX55" s="176"/>
    </row>
    <row r="56" spans="1:50" ht="18">
      <c r="A56" s="179" t="s">
        <v>31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79"/>
      <c r="AK56" s="179"/>
      <c r="AL56" s="179"/>
      <c r="AM56" s="179"/>
      <c r="AN56" s="179"/>
      <c r="AO56" s="179"/>
      <c r="AP56" s="179"/>
      <c r="AQ56" s="179"/>
      <c r="AR56" s="179"/>
      <c r="AS56" s="179"/>
      <c r="AT56" s="179"/>
      <c r="AU56" s="179"/>
      <c r="AV56" s="179"/>
      <c r="AW56" s="179"/>
      <c r="AX56" s="179"/>
    </row>
    <row r="57" spans="1:50" ht="12.75">
      <c r="A57" s="178" t="s">
        <v>26</v>
      </c>
      <c r="B57" s="178" t="s">
        <v>27</v>
      </c>
      <c r="C57" s="178"/>
      <c r="D57" s="178"/>
      <c r="E57" s="178"/>
      <c r="F57" s="178" t="s">
        <v>19</v>
      </c>
      <c r="G57" s="178"/>
      <c r="H57" s="178"/>
      <c r="I57" s="178"/>
      <c r="J57" s="178"/>
      <c r="K57" s="178"/>
      <c r="L57" s="178"/>
      <c r="M57" s="178"/>
      <c r="N57" s="178"/>
      <c r="O57" s="178" t="s">
        <v>20</v>
      </c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 t="s">
        <v>22</v>
      </c>
      <c r="AH57" s="178"/>
      <c r="AI57" s="178"/>
      <c r="AJ57" s="178"/>
      <c r="AK57" s="178"/>
      <c r="AL57" s="178"/>
      <c r="AM57" s="178"/>
      <c r="AN57" s="178"/>
      <c r="AO57" s="178" t="s">
        <v>28</v>
      </c>
      <c r="AP57" s="178"/>
      <c r="AQ57" s="178"/>
      <c r="AR57" s="178"/>
      <c r="AS57" s="178"/>
      <c r="AT57" s="178" t="s">
        <v>29</v>
      </c>
      <c r="AU57" s="178"/>
      <c r="AV57" s="178"/>
      <c r="AW57" s="178"/>
      <c r="AX57" s="178"/>
    </row>
    <row r="58" spans="1:50" ht="12.75">
      <c r="A58" s="178"/>
      <c r="B58" s="178"/>
      <c r="C58" s="178"/>
      <c r="D58" s="178"/>
      <c r="E58" s="178"/>
      <c r="F58" s="178" t="s">
        <v>494</v>
      </c>
      <c r="G58" s="178"/>
      <c r="H58" s="178"/>
      <c r="I58" s="178"/>
      <c r="J58" s="178"/>
      <c r="K58" s="178" t="s">
        <v>495</v>
      </c>
      <c r="L58" s="178"/>
      <c r="M58" s="178"/>
      <c r="N58" s="178"/>
      <c r="O58" s="178" t="s">
        <v>21</v>
      </c>
      <c r="P58" s="178"/>
      <c r="Q58" s="178"/>
      <c r="R58" s="178"/>
      <c r="S58" s="178"/>
      <c r="T58" s="178"/>
      <c r="U58" s="178" t="s">
        <v>496</v>
      </c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</row>
    <row r="59" spans="1:50" ht="12.75">
      <c r="A59" s="4">
        <v>1</v>
      </c>
      <c r="B59" s="175">
        <f>V10</f>
        <v>75060.44</v>
      </c>
      <c r="C59" s="176"/>
      <c r="D59" s="176"/>
      <c r="E59" s="176"/>
      <c r="F59" s="175">
        <f>B59/100*22</f>
        <v>16513.2968</v>
      </c>
      <c r="G59" s="175"/>
      <c r="H59" s="175"/>
      <c r="I59" s="175"/>
      <c r="J59" s="175"/>
      <c r="K59" s="176"/>
      <c r="L59" s="176"/>
      <c r="M59" s="176"/>
      <c r="N59" s="176"/>
      <c r="O59" s="175">
        <f>B59/100*0.2</f>
        <v>150.12088000000003</v>
      </c>
      <c r="P59" s="175"/>
      <c r="Q59" s="175"/>
      <c r="R59" s="175"/>
      <c r="S59" s="175"/>
      <c r="T59" s="175"/>
      <c r="U59" s="175">
        <f>B59/100*2.9</f>
        <v>2176.7527600000003</v>
      </c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>
        <f>B59/100*5.1</f>
        <v>3828.08244</v>
      </c>
      <c r="AH59" s="175"/>
      <c r="AI59" s="175"/>
      <c r="AJ59" s="175"/>
      <c r="AK59" s="175"/>
      <c r="AL59" s="175"/>
      <c r="AM59" s="175"/>
      <c r="AN59" s="175"/>
      <c r="AO59" s="175">
        <f aca="true" t="shared" si="20" ref="AO59:AO70">AG59+U59+O59+K59+F59</f>
        <v>22668.25288</v>
      </c>
      <c r="AP59" s="176"/>
      <c r="AQ59" s="176"/>
      <c r="AR59" s="176"/>
      <c r="AS59" s="176"/>
      <c r="AT59" s="175">
        <f>AO59</f>
        <v>22668.25288</v>
      </c>
      <c r="AU59" s="176"/>
      <c r="AV59" s="176"/>
      <c r="AW59" s="176"/>
      <c r="AX59" s="176"/>
    </row>
    <row r="60" spans="1:50" ht="12.75">
      <c r="A60" s="4">
        <v>2</v>
      </c>
      <c r="B60" s="175">
        <f>B59+V10</f>
        <v>150120.88</v>
      </c>
      <c r="C60" s="176"/>
      <c r="D60" s="176"/>
      <c r="E60" s="176"/>
      <c r="F60" s="175">
        <f aca="true" t="shared" si="21" ref="F60:F70">(B60-B59)/100*22</f>
        <v>16513.2968</v>
      </c>
      <c r="G60" s="175"/>
      <c r="H60" s="175"/>
      <c r="I60" s="175"/>
      <c r="J60" s="175"/>
      <c r="K60" s="176"/>
      <c r="L60" s="176"/>
      <c r="M60" s="176"/>
      <c r="N60" s="176"/>
      <c r="O60" s="175">
        <f aca="true" t="shared" si="22" ref="O60:O70">(B60-B59)/100*0.2</f>
        <v>150.12088000000003</v>
      </c>
      <c r="P60" s="175"/>
      <c r="Q60" s="175"/>
      <c r="R60" s="175"/>
      <c r="S60" s="175"/>
      <c r="T60" s="175"/>
      <c r="U60" s="175">
        <f aca="true" t="shared" si="23" ref="U60:U68">(B60-B59)/100*2.9</f>
        <v>2176.7527600000003</v>
      </c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>
        <f aca="true" t="shared" si="24" ref="AG60:AG70">(B60-B59)/100*5.1</f>
        <v>3828.08244</v>
      </c>
      <c r="AH60" s="175"/>
      <c r="AI60" s="175"/>
      <c r="AJ60" s="175"/>
      <c r="AK60" s="175"/>
      <c r="AL60" s="175"/>
      <c r="AM60" s="175"/>
      <c r="AN60" s="175"/>
      <c r="AO60" s="175">
        <f t="shared" si="20"/>
        <v>22668.25288</v>
      </c>
      <c r="AP60" s="176"/>
      <c r="AQ60" s="176"/>
      <c r="AR60" s="176"/>
      <c r="AS60" s="176"/>
      <c r="AT60" s="175">
        <f aca="true" t="shared" si="25" ref="AT60:AT70">AT59+AO60</f>
        <v>45336.50576</v>
      </c>
      <c r="AU60" s="176"/>
      <c r="AV60" s="176"/>
      <c r="AW60" s="176"/>
      <c r="AX60" s="176"/>
    </row>
    <row r="61" spans="1:50" ht="12.75">
      <c r="A61" s="4">
        <v>3</v>
      </c>
      <c r="B61" s="175">
        <f>B60+V10</f>
        <v>225181.32</v>
      </c>
      <c r="C61" s="176"/>
      <c r="D61" s="176"/>
      <c r="E61" s="176"/>
      <c r="F61" s="175">
        <f t="shared" si="21"/>
        <v>16513.2968</v>
      </c>
      <c r="G61" s="175"/>
      <c r="H61" s="175"/>
      <c r="I61" s="175"/>
      <c r="J61" s="175"/>
      <c r="K61" s="175"/>
      <c r="L61" s="175"/>
      <c r="M61" s="175"/>
      <c r="N61" s="175"/>
      <c r="O61" s="175">
        <f t="shared" si="22"/>
        <v>150.12088000000003</v>
      </c>
      <c r="P61" s="175"/>
      <c r="Q61" s="175"/>
      <c r="R61" s="175"/>
      <c r="S61" s="175"/>
      <c r="T61" s="175"/>
      <c r="U61" s="175">
        <f t="shared" si="23"/>
        <v>2176.7527600000003</v>
      </c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>
        <f t="shared" si="24"/>
        <v>3828.08244</v>
      </c>
      <c r="AH61" s="175"/>
      <c r="AI61" s="175"/>
      <c r="AJ61" s="175"/>
      <c r="AK61" s="175"/>
      <c r="AL61" s="175"/>
      <c r="AM61" s="175"/>
      <c r="AN61" s="175"/>
      <c r="AO61" s="175">
        <f t="shared" si="20"/>
        <v>22668.25288</v>
      </c>
      <c r="AP61" s="176"/>
      <c r="AQ61" s="176"/>
      <c r="AR61" s="176"/>
      <c r="AS61" s="176"/>
      <c r="AT61" s="175">
        <f t="shared" si="25"/>
        <v>68004.75864</v>
      </c>
      <c r="AU61" s="176"/>
      <c r="AV61" s="176"/>
      <c r="AW61" s="176"/>
      <c r="AX61" s="176"/>
    </row>
    <row r="62" spans="1:50" ht="12.75">
      <c r="A62" s="4">
        <v>4</v>
      </c>
      <c r="B62" s="175">
        <f>B61+V10</f>
        <v>300241.76</v>
      </c>
      <c r="C62" s="176"/>
      <c r="D62" s="176"/>
      <c r="E62" s="176"/>
      <c r="F62" s="175">
        <f t="shared" si="21"/>
        <v>16513.2968</v>
      </c>
      <c r="G62" s="175"/>
      <c r="H62" s="175"/>
      <c r="I62" s="175"/>
      <c r="J62" s="175"/>
      <c r="K62" s="175"/>
      <c r="L62" s="175"/>
      <c r="M62" s="175"/>
      <c r="N62" s="175"/>
      <c r="O62" s="175">
        <f t="shared" si="22"/>
        <v>150.12088000000003</v>
      </c>
      <c r="P62" s="175"/>
      <c r="Q62" s="175"/>
      <c r="R62" s="175"/>
      <c r="S62" s="175"/>
      <c r="T62" s="175"/>
      <c r="U62" s="175">
        <f t="shared" si="23"/>
        <v>2176.7527600000003</v>
      </c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>
        <f t="shared" si="24"/>
        <v>3828.08244</v>
      </c>
      <c r="AH62" s="175"/>
      <c r="AI62" s="175"/>
      <c r="AJ62" s="175"/>
      <c r="AK62" s="175"/>
      <c r="AL62" s="175"/>
      <c r="AM62" s="175"/>
      <c r="AN62" s="175"/>
      <c r="AO62" s="175">
        <f t="shared" si="20"/>
        <v>22668.25288</v>
      </c>
      <c r="AP62" s="176"/>
      <c r="AQ62" s="176"/>
      <c r="AR62" s="176"/>
      <c r="AS62" s="176"/>
      <c r="AT62" s="175">
        <f t="shared" si="25"/>
        <v>90673.01152</v>
      </c>
      <c r="AU62" s="176"/>
      <c r="AV62" s="176"/>
      <c r="AW62" s="176"/>
      <c r="AX62" s="176"/>
    </row>
    <row r="63" spans="1:50" ht="12.75">
      <c r="A63" s="4">
        <v>5</v>
      </c>
      <c r="B63" s="175">
        <f>B62+V10</f>
        <v>375302.2</v>
      </c>
      <c r="C63" s="176"/>
      <c r="D63" s="176"/>
      <c r="E63" s="176"/>
      <c r="F63" s="175">
        <f t="shared" si="21"/>
        <v>16513.2968</v>
      </c>
      <c r="G63" s="175"/>
      <c r="H63" s="175"/>
      <c r="I63" s="175"/>
      <c r="J63" s="175"/>
      <c r="K63" s="175"/>
      <c r="L63" s="175"/>
      <c r="M63" s="175"/>
      <c r="N63" s="175"/>
      <c r="O63" s="175">
        <f t="shared" si="22"/>
        <v>150.12088000000003</v>
      </c>
      <c r="P63" s="175"/>
      <c r="Q63" s="175"/>
      <c r="R63" s="175"/>
      <c r="S63" s="175"/>
      <c r="T63" s="175"/>
      <c r="U63" s="175">
        <f t="shared" si="23"/>
        <v>2176.7527600000003</v>
      </c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>
        <f t="shared" si="24"/>
        <v>3828.08244</v>
      </c>
      <c r="AH63" s="175"/>
      <c r="AI63" s="175"/>
      <c r="AJ63" s="175"/>
      <c r="AK63" s="175"/>
      <c r="AL63" s="175"/>
      <c r="AM63" s="175"/>
      <c r="AN63" s="175"/>
      <c r="AO63" s="175">
        <f t="shared" si="20"/>
        <v>22668.25288</v>
      </c>
      <c r="AP63" s="176"/>
      <c r="AQ63" s="176"/>
      <c r="AR63" s="176"/>
      <c r="AS63" s="176"/>
      <c r="AT63" s="175">
        <f t="shared" si="25"/>
        <v>113341.2644</v>
      </c>
      <c r="AU63" s="176"/>
      <c r="AV63" s="176"/>
      <c r="AW63" s="176"/>
      <c r="AX63" s="176"/>
    </row>
    <row r="64" spans="1:50" ht="12.75">
      <c r="A64" s="4">
        <v>6</v>
      </c>
      <c r="B64" s="175">
        <f>B63+V10</f>
        <v>450362.64</v>
      </c>
      <c r="C64" s="176"/>
      <c r="D64" s="176"/>
      <c r="E64" s="176"/>
      <c r="F64" s="175">
        <f t="shared" si="21"/>
        <v>16513.2968</v>
      </c>
      <c r="G64" s="175"/>
      <c r="H64" s="175"/>
      <c r="I64" s="175"/>
      <c r="J64" s="175"/>
      <c r="K64" s="175"/>
      <c r="L64" s="175"/>
      <c r="M64" s="175"/>
      <c r="N64" s="175"/>
      <c r="O64" s="175">
        <f t="shared" si="22"/>
        <v>150.12088000000003</v>
      </c>
      <c r="P64" s="175"/>
      <c r="Q64" s="175"/>
      <c r="R64" s="175"/>
      <c r="S64" s="175"/>
      <c r="T64" s="175"/>
      <c r="U64" s="175">
        <f t="shared" si="23"/>
        <v>2176.7527600000003</v>
      </c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>
        <f t="shared" si="24"/>
        <v>3828.08244</v>
      </c>
      <c r="AH64" s="175"/>
      <c r="AI64" s="175"/>
      <c r="AJ64" s="175"/>
      <c r="AK64" s="175"/>
      <c r="AL64" s="175"/>
      <c r="AM64" s="175"/>
      <c r="AN64" s="175"/>
      <c r="AO64" s="175">
        <f t="shared" si="20"/>
        <v>22668.25288</v>
      </c>
      <c r="AP64" s="176"/>
      <c r="AQ64" s="176"/>
      <c r="AR64" s="176"/>
      <c r="AS64" s="176"/>
      <c r="AT64" s="175">
        <f t="shared" si="25"/>
        <v>136009.51728</v>
      </c>
      <c r="AU64" s="176"/>
      <c r="AV64" s="176"/>
      <c r="AW64" s="176"/>
      <c r="AX64" s="176"/>
    </row>
    <row r="65" spans="1:50" ht="12.75">
      <c r="A65" s="4">
        <v>7</v>
      </c>
      <c r="B65" s="175">
        <f>B64+V10</f>
        <v>525423.0800000001</v>
      </c>
      <c r="C65" s="176"/>
      <c r="D65" s="176"/>
      <c r="E65" s="176"/>
      <c r="F65" s="175">
        <f t="shared" si="21"/>
        <v>16513.296800000015</v>
      </c>
      <c r="G65" s="175"/>
      <c r="H65" s="175"/>
      <c r="I65" s="175"/>
      <c r="J65" s="175"/>
      <c r="K65" s="175"/>
      <c r="L65" s="175"/>
      <c r="M65" s="175"/>
      <c r="N65" s="175"/>
      <c r="O65" s="175">
        <f t="shared" si="22"/>
        <v>150.12088000000014</v>
      </c>
      <c r="P65" s="175"/>
      <c r="Q65" s="175"/>
      <c r="R65" s="175"/>
      <c r="S65" s="175"/>
      <c r="T65" s="175"/>
      <c r="U65" s="175">
        <f t="shared" si="23"/>
        <v>2176.7527600000017</v>
      </c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>
        <f t="shared" si="24"/>
        <v>3828.082440000003</v>
      </c>
      <c r="AH65" s="175"/>
      <c r="AI65" s="175"/>
      <c r="AJ65" s="175"/>
      <c r="AK65" s="175"/>
      <c r="AL65" s="175"/>
      <c r="AM65" s="175"/>
      <c r="AN65" s="175"/>
      <c r="AO65" s="175">
        <f t="shared" si="20"/>
        <v>22668.252880000022</v>
      </c>
      <c r="AP65" s="176"/>
      <c r="AQ65" s="176"/>
      <c r="AR65" s="176"/>
      <c r="AS65" s="176"/>
      <c r="AT65" s="175">
        <f t="shared" si="25"/>
        <v>158677.77016000001</v>
      </c>
      <c r="AU65" s="176"/>
      <c r="AV65" s="176"/>
      <c r="AW65" s="176"/>
      <c r="AX65" s="176"/>
    </row>
    <row r="66" spans="1:50" ht="12.75">
      <c r="A66" s="4">
        <v>8</v>
      </c>
      <c r="B66" s="175">
        <f>B65+V10</f>
        <v>600483.52</v>
      </c>
      <c r="C66" s="176"/>
      <c r="D66" s="176"/>
      <c r="E66" s="176"/>
      <c r="F66" s="175">
        <f t="shared" si="21"/>
        <v>16513.29679999999</v>
      </c>
      <c r="G66" s="175"/>
      <c r="H66" s="175"/>
      <c r="I66" s="175"/>
      <c r="J66" s="175"/>
      <c r="K66" s="175"/>
      <c r="L66" s="175"/>
      <c r="M66" s="175"/>
      <c r="N66" s="175"/>
      <c r="O66" s="175">
        <f t="shared" si="22"/>
        <v>150.12087999999991</v>
      </c>
      <c r="P66" s="175"/>
      <c r="Q66" s="175"/>
      <c r="R66" s="175"/>
      <c r="S66" s="175"/>
      <c r="T66" s="175"/>
      <c r="U66" s="175">
        <f t="shared" si="23"/>
        <v>2176.7527599999985</v>
      </c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>
        <f t="shared" si="24"/>
        <v>3828.082439999997</v>
      </c>
      <c r="AH66" s="175"/>
      <c r="AI66" s="175"/>
      <c r="AJ66" s="175"/>
      <c r="AK66" s="175"/>
      <c r="AL66" s="175"/>
      <c r="AM66" s="175"/>
      <c r="AN66" s="175"/>
      <c r="AO66" s="175">
        <f t="shared" si="20"/>
        <v>22668.252879999985</v>
      </c>
      <c r="AP66" s="176"/>
      <c r="AQ66" s="176"/>
      <c r="AR66" s="176"/>
      <c r="AS66" s="176"/>
      <c r="AT66" s="175">
        <f t="shared" si="25"/>
        <v>181346.02304</v>
      </c>
      <c r="AU66" s="176"/>
      <c r="AV66" s="176"/>
      <c r="AW66" s="176"/>
      <c r="AX66" s="176"/>
    </row>
    <row r="67" spans="1:50" ht="12.75">
      <c r="A67" s="4">
        <v>9</v>
      </c>
      <c r="B67" s="175">
        <f>B66+V10</f>
        <v>675543.96</v>
      </c>
      <c r="C67" s="176"/>
      <c r="D67" s="176"/>
      <c r="E67" s="176"/>
      <c r="F67" s="175">
        <f t="shared" si="21"/>
        <v>16513.29679999999</v>
      </c>
      <c r="G67" s="175"/>
      <c r="H67" s="175"/>
      <c r="I67" s="175"/>
      <c r="J67" s="175"/>
      <c r="K67" s="175"/>
      <c r="L67" s="175"/>
      <c r="M67" s="175"/>
      <c r="N67" s="175"/>
      <c r="O67" s="175">
        <f t="shared" si="22"/>
        <v>150.12087999999991</v>
      </c>
      <c r="P67" s="175"/>
      <c r="Q67" s="175"/>
      <c r="R67" s="175"/>
      <c r="S67" s="175"/>
      <c r="T67" s="175"/>
      <c r="U67" s="175">
        <f t="shared" si="23"/>
        <v>2176.7527599999985</v>
      </c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>
        <f t="shared" si="24"/>
        <v>3828.082439999997</v>
      </c>
      <c r="AH67" s="175"/>
      <c r="AI67" s="175"/>
      <c r="AJ67" s="175"/>
      <c r="AK67" s="175"/>
      <c r="AL67" s="175"/>
      <c r="AM67" s="175"/>
      <c r="AN67" s="175"/>
      <c r="AO67" s="175">
        <f t="shared" si="20"/>
        <v>22668.252879999985</v>
      </c>
      <c r="AP67" s="176"/>
      <c r="AQ67" s="176"/>
      <c r="AR67" s="176"/>
      <c r="AS67" s="176"/>
      <c r="AT67" s="175">
        <f t="shared" si="25"/>
        <v>204014.27592</v>
      </c>
      <c r="AU67" s="176"/>
      <c r="AV67" s="176"/>
      <c r="AW67" s="176"/>
      <c r="AX67" s="176"/>
    </row>
    <row r="68" spans="1:50" ht="12.75">
      <c r="A68" s="4">
        <v>10</v>
      </c>
      <c r="B68" s="175">
        <f>B67+V10</f>
        <v>750604.3999999999</v>
      </c>
      <c r="C68" s="176"/>
      <c r="D68" s="176"/>
      <c r="E68" s="176"/>
      <c r="F68" s="175">
        <f t="shared" si="21"/>
        <v>16513.29679999999</v>
      </c>
      <c r="G68" s="175"/>
      <c r="H68" s="175"/>
      <c r="I68" s="175"/>
      <c r="J68" s="175"/>
      <c r="K68" s="175"/>
      <c r="L68" s="175"/>
      <c r="M68" s="175"/>
      <c r="N68" s="175"/>
      <c r="O68" s="175">
        <f t="shared" si="22"/>
        <v>150.12087999999991</v>
      </c>
      <c r="P68" s="175"/>
      <c r="Q68" s="175"/>
      <c r="R68" s="175"/>
      <c r="S68" s="175"/>
      <c r="T68" s="175"/>
      <c r="U68" s="175">
        <f t="shared" si="23"/>
        <v>2176.7527599999985</v>
      </c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>
        <f t="shared" si="24"/>
        <v>3828.082439999997</v>
      </c>
      <c r="AH68" s="175"/>
      <c r="AI68" s="175"/>
      <c r="AJ68" s="175"/>
      <c r="AK68" s="175"/>
      <c r="AL68" s="175"/>
      <c r="AM68" s="175"/>
      <c r="AN68" s="175"/>
      <c r="AO68" s="175">
        <f t="shared" si="20"/>
        <v>22668.252879999985</v>
      </c>
      <c r="AP68" s="176"/>
      <c r="AQ68" s="176"/>
      <c r="AR68" s="176"/>
      <c r="AS68" s="176"/>
      <c r="AT68" s="175">
        <f t="shared" si="25"/>
        <v>226682.52879999997</v>
      </c>
      <c r="AU68" s="176"/>
      <c r="AV68" s="176"/>
      <c r="AW68" s="176"/>
      <c r="AX68" s="176"/>
    </row>
    <row r="69" spans="1:50" ht="12.75">
      <c r="A69" s="4">
        <v>11</v>
      </c>
      <c r="B69" s="175">
        <f>B68+V10</f>
        <v>825664.8399999999</v>
      </c>
      <c r="C69" s="176"/>
      <c r="D69" s="176"/>
      <c r="E69" s="176"/>
      <c r="F69" s="175">
        <f t="shared" si="21"/>
        <v>16513.29679999999</v>
      </c>
      <c r="G69" s="175"/>
      <c r="H69" s="175"/>
      <c r="I69" s="175"/>
      <c r="J69" s="175"/>
      <c r="K69" s="175"/>
      <c r="L69" s="175"/>
      <c r="M69" s="175"/>
      <c r="N69" s="175"/>
      <c r="O69" s="175">
        <f t="shared" si="22"/>
        <v>150.12087999999991</v>
      </c>
      <c r="P69" s="175"/>
      <c r="Q69" s="175"/>
      <c r="R69" s="175"/>
      <c r="S69" s="175"/>
      <c r="T69" s="175"/>
      <c r="U69" s="175">
        <f>(B69-B68)/100*2.9</f>
        <v>2176.7527599999985</v>
      </c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>
        <f t="shared" si="24"/>
        <v>3828.082439999997</v>
      </c>
      <c r="AH69" s="175"/>
      <c r="AI69" s="175"/>
      <c r="AJ69" s="175"/>
      <c r="AK69" s="175"/>
      <c r="AL69" s="175"/>
      <c r="AM69" s="175"/>
      <c r="AN69" s="175"/>
      <c r="AO69" s="175">
        <f t="shared" si="20"/>
        <v>22668.252879999985</v>
      </c>
      <c r="AP69" s="176"/>
      <c r="AQ69" s="176"/>
      <c r="AR69" s="176"/>
      <c r="AS69" s="176"/>
      <c r="AT69" s="175">
        <f t="shared" si="25"/>
        <v>249350.78167999996</v>
      </c>
      <c r="AU69" s="176"/>
      <c r="AV69" s="176"/>
      <c r="AW69" s="176"/>
      <c r="AX69" s="176"/>
    </row>
    <row r="70" spans="1:50" ht="12.75">
      <c r="A70" s="4">
        <v>12</v>
      </c>
      <c r="B70" s="175">
        <f>B69+V10</f>
        <v>900725.2799999998</v>
      </c>
      <c r="C70" s="176"/>
      <c r="D70" s="176"/>
      <c r="E70" s="176"/>
      <c r="F70" s="175">
        <f t="shared" si="21"/>
        <v>16513.29679999999</v>
      </c>
      <c r="G70" s="175"/>
      <c r="H70" s="175"/>
      <c r="I70" s="175"/>
      <c r="J70" s="175"/>
      <c r="K70" s="175"/>
      <c r="L70" s="175"/>
      <c r="M70" s="175"/>
      <c r="N70" s="175"/>
      <c r="O70" s="175">
        <f t="shared" si="22"/>
        <v>150.12087999999991</v>
      </c>
      <c r="P70" s="175"/>
      <c r="Q70" s="175"/>
      <c r="R70" s="175"/>
      <c r="S70" s="175"/>
      <c r="T70" s="175"/>
      <c r="U70" s="175">
        <f>(B70-B69)/100*2.9</f>
        <v>2176.7527599999985</v>
      </c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>
        <f t="shared" si="24"/>
        <v>3828.082439999997</v>
      </c>
      <c r="AH70" s="175"/>
      <c r="AI70" s="175"/>
      <c r="AJ70" s="175"/>
      <c r="AK70" s="175"/>
      <c r="AL70" s="175"/>
      <c r="AM70" s="175"/>
      <c r="AN70" s="175"/>
      <c r="AO70" s="175">
        <f t="shared" si="20"/>
        <v>22668.252879999985</v>
      </c>
      <c r="AP70" s="176"/>
      <c r="AQ70" s="176"/>
      <c r="AR70" s="176"/>
      <c r="AS70" s="176"/>
      <c r="AT70" s="175">
        <f t="shared" si="25"/>
        <v>272019.03455999994</v>
      </c>
      <c r="AU70" s="176"/>
      <c r="AV70" s="176"/>
      <c r="AW70" s="176"/>
      <c r="AX70" s="176"/>
    </row>
    <row r="71" spans="1:50" ht="18">
      <c r="A71" s="179" t="s">
        <v>32</v>
      </c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79"/>
      <c r="AK71" s="179"/>
      <c r="AL71" s="179"/>
      <c r="AM71" s="179"/>
      <c r="AN71" s="179"/>
      <c r="AO71" s="179"/>
      <c r="AP71" s="179"/>
      <c r="AQ71" s="179"/>
      <c r="AR71" s="179"/>
      <c r="AS71" s="179"/>
      <c r="AT71" s="179"/>
      <c r="AU71" s="179"/>
      <c r="AV71" s="179"/>
      <c r="AW71" s="179"/>
      <c r="AX71" s="179"/>
    </row>
    <row r="72" spans="1:50" ht="12.75">
      <c r="A72" s="178" t="s">
        <v>26</v>
      </c>
      <c r="B72" s="178" t="s">
        <v>27</v>
      </c>
      <c r="C72" s="178"/>
      <c r="D72" s="178"/>
      <c r="E72" s="178"/>
      <c r="F72" s="178" t="s">
        <v>19</v>
      </c>
      <c r="G72" s="178"/>
      <c r="H72" s="178"/>
      <c r="I72" s="178"/>
      <c r="J72" s="178"/>
      <c r="K72" s="178"/>
      <c r="L72" s="178"/>
      <c r="M72" s="178"/>
      <c r="N72" s="178"/>
      <c r="O72" s="178" t="s">
        <v>20</v>
      </c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 t="s">
        <v>22</v>
      </c>
      <c r="AH72" s="178"/>
      <c r="AI72" s="178"/>
      <c r="AJ72" s="178"/>
      <c r="AK72" s="178"/>
      <c r="AL72" s="178"/>
      <c r="AM72" s="178"/>
      <c r="AN72" s="178"/>
      <c r="AO72" s="178" t="s">
        <v>28</v>
      </c>
      <c r="AP72" s="178"/>
      <c r="AQ72" s="178"/>
      <c r="AR72" s="178"/>
      <c r="AS72" s="178"/>
      <c r="AT72" s="178" t="s">
        <v>29</v>
      </c>
      <c r="AU72" s="178"/>
      <c r="AV72" s="178"/>
      <c r="AW72" s="178"/>
      <c r="AX72" s="178"/>
    </row>
    <row r="73" spans="1:50" ht="12.75">
      <c r="A73" s="178"/>
      <c r="B73" s="178"/>
      <c r="C73" s="178"/>
      <c r="D73" s="178"/>
      <c r="E73" s="178"/>
      <c r="F73" s="178" t="s">
        <v>494</v>
      </c>
      <c r="G73" s="178"/>
      <c r="H73" s="178"/>
      <c r="I73" s="178"/>
      <c r="J73" s="178"/>
      <c r="K73" s="178" t="s">
        <v>495</v>
      </c>
      <c r="L73" s="178"/>
      <c r="M73" s="178"/>
      <c r="N73" s="178"/>
      <c r="O73" s="178" t="s">
        <v>21</v>
      </c>
      <c r="P73" s="178"/>
      <c r="Q73" s="178"/>
      <c r="R73" s="178"/>
      <c r="S73" s="178"/>
      <c r="T73" s="178"/>
      <c r="U73" s="178" t="s">
        <v>496</v>
      </c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  <c r="AN73" s="178"/>
      <c r="AO73" s="178"/>
      <c r="AP73" s="178"/>
      <c r="AQ73" s="178"/>
      <c r="AR73" s="178"/>
      <c r="AS73" s="178"/>
      <c r="AT73" s="178"/>
      <c r="AU73" s="178"/>
      <c r="AV73" s="178"/>
      <c r="AW73" s="178"/>
      <c r="AX73" s="178"/>
    </row>
    <row r="74" spans="1:50" ht="12.75">
      <c r="A74" s="4">
        <v>1</v>
      </c>
      <c r="B74" s="175">
        <f>V11</f>
        <v>65574.78</v>
      </c>
      <c r="C74" s="176"/>
      <c r="D74" s="176"/>
      <c r="E74" s="176"/>
      <c r="F74" s="175">
        <f>B74/100*22</f>
        <v>14426.4516</v>
      </c>
      <c r="G74" s="175"/>
      <c r="H74" s="175"/>
      <c r="I74" s="175"/>
      <c r="J74" s="175"/>
      <c r="K74" s="176"/>
      <c r="L74" s="176"/>
      <c r="M74" s="176"/>
      <c r="N74" s="176"/>
      <c r="O74" s="175">
        <f>B74/100*0.2</f>
        <v>131.14956</v>
      </c>
      <c r="P74" s="175"/>
      <c r="Q74" s="175"/>
      <c r="R74" s="175"/>
      <c r="S74" s="175"/>
      <c r="T74" s="175"/>
      <c r="U74" s="175">
        <f>B74/100*2.9</f>
        <v>1901.66862</v>
      </c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>
        <f>B74/100*5.1</f>
        <v>3344.3137799999995</v>
      </c>
      <c r="AH74" s="175"/>
      <c r="AI74" s="175"/>
      <c r="AJ74" s="175"/>
      <c r="AK74" s="175"/>
      <c r="AL74" s="175"/>
      <c r="AM74" s="175"/>
      <c r="AN74" s="175"/>
      <c r="AO74" s="175">
        <f aca="true" t="shared" si="26" ref="AO74:AO85">AG74+U74+O74+K74+F74</f>
        <v>19803.58356</v>
      </c>
      <c r="AP74" s="176"/>
      <c r="AQ74" s="176"/>
      <c r="AR74" s="176"/>
      <c r="AS74" s="176"/>
      <c r="AT74" s="175">
        <f>AO74</f>
        <v>19803.58356</v>
      </c>
      <c r="AU74" s="176"/>
      <c r="AV74" s="176"/>
      <c r="AW74" s="176"/>
      <c r="AX74" s="176"/>
    </row>
    <row r="75" spans="1:50" ht="12.75">
      <c r="A75" s="4">
        <v>2</v>
      </c>
      <c r="B75" s="175">
        <f>B74+V11</f>
        <v>131149.56</v>
      </c>
      <c r="C75" s="176"/>
      <c r="D75" s="176"/>
      <c r="E75" s="176"/>
      <c r="F75" s="175">
        <f aca="true" t="shared" si="27" ref="F75:F85">(B75-B74)/100*22</f>
        <v>14426.4516</v>
      </c>
      <c r="G75" s="175"/>
      <c r="H75" s="175"/>
      <c r="I75" s="175"/>
      <c r="J75" s="175"/>
      <c r="K75" s="176"/>
      <c r="L75" s="176"/>
      <c r="M75" s="176"/>
      <c r="N75" s="176"/>
      <c r="O75" s="175">
        <f aca="true" t="shared" si="28" ref="O75:O85">(B75-B74)/100*0.2</f>
        <v>131.14956</v>
      </c>
      <c r="P75" s="175"/>
      <c r="Q75" s="175"/>
      <c r="R75" s="175"/>
      <c r="S75" s="175"/>
      <c r="T75" s="175"/>
      <c r="U75" s="175">
        <f aca="true" t="shared" si="29" ref="U75:U85">(B75-B74)/100*2.9</f>
        <v>1901.66862</v>
      </c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>
        <f aca="true" t="shared" si="30" ref="AG75:AG85">(B75-B74)/100*5.1</f>
        <v>3344.3137799999995</v>
      </c>
      <c r="AH75" s="175"/>
      <c r="AI75" s="175"/>
      <c r="AJ75" s="175"/>
      <c r="AK75" s="175"/>
      <c r="AL75" s="175"/>
      <c r="AM75" s="175"/>
      <c r="AN75" s="175"/>
      <c r="AO75" s="175">
        <f t="shared" si="26"/>
        <v>19803.58356</v>
      </c>
      <c r="AP75" s="176"/>
      <c r="AQ75" s="176"/>
      <c r="AR75" s="176"/>
      <c r="AS75" s="176"/>
      <c r="AT75" s="175">
        <f aca="true" t="shared" si="31" ref="AT75:AT85">AT74+AO75</f>
        <v>39607.16712</v>
      </c>
      <c r="AU75" s="176"/>
      <c r="AV75" s="176"/>
      <c r="AW75" s="176"/>
      <c r="AX75" s="176"/>
    </row>
    <row r="76" spans="1:50" ht="12.75">
      <c r="A76" s="4">
        <v>3</v>
      </c>
      <c r="B76" s="175">
        <f>B75+V11</f>
        <v>196724.34</v>
      </c>
      <c r="C76" s="176"/>
      <c r="D76" s="176"/>
      <c r="E76" s="176"/>
      <c r="F76" s="175">
        <f t="shared" si="27"/>
        <v>14426.4516</v>
      </c>
      <c r="G76" s="175"/>
      <c r="H76" s="175"/>
      <c r="I76" s="175"/>
      <c r="J76" s="175"/>
      <c r="K76" s="175"/>
      <c r="L76" s="175"/>
      <c r="M76" s="175"/>
      <c r="N76" s="175"/>
      <c r="O76" s="175">
        <f t="shared" si="28"/>
        <v>131.14956</v>
      </c>
      <c r="P76" s="175"/>
      <c r="Q76" s="175"/>
      <c r="R76" s="175"/>
      <c r="S76" s="175"/>
      <c r="T76" s="175"/>
      <c r="U76" s="175">
        <f t="shared" si="29"/>
        <v>1901.66862</v>
      </c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>
        <f t="shared" si="30"/>
        <v>3344.3137799999995</v>
      </c>
      <c r="AH76" s="175"/>
      <c r="AI76" s="175"/>
      <c r="AJ76" s="175"/>
      <c r="AK76" s="175"/>
      <c r="AL76" s="175"/>
      <c r="AM76" s="175"/>
      <c r="AN76" s="175"/>
      <c r="AO76" s="175">
        <f t="shared" si="26"/>
        <v>19803.58356</v>
      </c>
      <c r="AP76" s="176"/>
      <c r="AQ76" s="176"/>
      <c r="AR76" s="176"/>
      <c r="AS76" s="176"/>
      <c r="AT76" s="175">
        <f t="shared" si="31"/>
        <v>59410.75068</v>
      </c>
      <c r="AU76" s="176"/>
      <c r="AV76" s="176"/>
      <c r="AW76" s="176"/>
      <c r="AX76" s="176"/>
    </row>
    <row r="77" spans="1:50" ht="12.75">
      <c r="A77" s="4">
        <v>4</v>
      </c>
      <c r="B77" s="175">
        <f>B76+V11</f>
        <v>262299.12</v>
      </c>
      <c r="C77" s="176"/>
      <c r="D77" s="176"/>
      <c r="E77" s="176"/>
      <c r="F77" s="175">
        <f t="shared" si="27"/>
        <v>14426.4516</v>
      </c>
      <c r="G77" s="175"/>
      <c r="H77" s="175"/>
      <c r="I77" s="175"/>
      <c r="J77" s="175"/>
      <c r="K77" s="175"/>
      <c r="L77" s="175"/>
      <c r="M77" s="175"/>
      <c r="N77" s="175"/>
      <c r="O77" s="175">
        <f t="shared" si="28"/>
        <v>131.14956</v>
      </c>
      <c r="P77" s="175"/>
      <c r="Q77" s="175"/>
      <c r="R77" s="175"/>
      <c r="S77" s="175"/>
      <c r="T77" s="175"/>
      <c r="U77" s="175">
        <f t="shared" si="29"/>
        <v>1901.66862</v>
      </c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>
        <f t="shared" si="30"/>
        <v>3344.3137799999995</v>
      </c>
      <c r="AH77" s="175"/>
      <c r="AI77" s="175"/>
      <c r="AJ77" s="175"/>
      <c r="AK77" s="175"/>
      <c r="AL77" s="175"/>
      <c r="AM77" s="175"/>
      <c r="AN77" s="175"/>
      <c r="AO77" s="175">
        <f t="shared" si="26"/>
        <v>19803.58356</v>
      </c>
      <c r="AP77" s="176"/>
      <c r="AQ77" s="176"/>
      <c r="AR77" s="176"/>
      <c r="AS77" s="176"/>
      <c r="AT77" s="175">
        <f t="shared" si="31"/>
        <v>79214.33424</v>
      </c>
      <c r="AU77" s="176"/>
      <c r="AV77" s="176"/>
      <c r="AW77" s="176"/>
      <c r="AX77" s="176"/>
    </row>
    <row r="78" spans="1:50" ht="12.75">
      <c r="A78" s="4">
        <v>5</v>
      </c>
      <c r="B78" s="175">
        <f>B77+V11</f>
        <v>327873.9</v>
      </c>
      <c r="C78" s="176"/>
      <c r="D78" s="176"/>
      <c r="E78" s="176"/>
      <c r="F78" s="175">
        <f t="shared" si="27"/>
        <v>14426.451600000008</v>
      </c>
      <c r="G78" s="175"/>
      <c r="H78" s="175"/>
      <c r="I78" s="175"/>
      <c r="J78" s="175"/>
      <c r="K78" s="175"/>
      <c r="L78" s="175"/>
      <c r="M78" s="175"/>
      <c r="N78" s="175"/>
      <c r="O78" s="175">
        <f t="shared" si="28"/>
        <v>131.14956000000006</v>
      </c>
      <c r="P78" s="175"/>
      <c r="Q78" s="175"/>
      <c r="R78" s="175"/>
      <c r="S78" s="175"/>
      <c r="T78" s="175"/>
      <c r="U78" s="175">
        <f t="shared" si="29"/>
        <v>1901.6686200000008</v>
      </c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>
        <f t="shared" si="30"/>
        <v>3344.3137800000013</v>
      </c>
      <c r="AH78" s="175"/>
      <c r="AI78" s="175"/>
      <c r="AJ78" s="175"/>
      <c r="AK78" s="175"/>
      <c r="AL78" s="175"/>
      <c r="AM78" s="175"/>
      <c r="AN78" s="175"/>
      <c r="AO78" s="175">
        <f t="shared" si="26"/>
        <v>19803.58356000001</v>
      </c>
      <c r="AP78" s="176"/>
      <c r="AQ78" s="176"/>
      <c r="AR78" s="176"/>
      <c r="AS78" s="176"/>
      <c r="AT78" s="175">
        <f t="shared" si="31"/>
        <v>99017.91780000001</v>
      </c>
      <c r="AU78" s="176"/>
      <c r="AV78" s="176"/>
      <c r="AW78" s="176"/>
      <c r="AX78" s="176"/>
    </row>
    <row r="79" spans="1:50" ht="12.75">
      <c r="A79" s="4">
        <v>6</v>
      </c>
      <c r="B79" s="175">
        <f>B78+V11</f>
        <v>393448.68000000005</v>
      </c>
      <c r="C79" s="176"/>
      <c r="D79" s="176"/>
      <c r="E79" s="176"/>
      <c r="F79" s="175">
        <f t="shared" si="27"/>
        <v>14426.451600000008</v>
      </c>
      <c r="G79" s="175"/>
      <c r="H79" s="175"/>
      <c r="I79" s="175"/>
      <c r="J79" s="175"/>
      <c r="K79" s="175"/>
      <c r="L79" s="175"/>
      <c r="M79" s="175"/>
      <c r="N79" s="175"/>
      <c r="O79" s="175">
        <f t="shared" si="28"/>
        <v>131.14956000000006</v>
      </c>
      <c r="P79" s="175"/>
      <c r="Q79" s="175"/>
      <c r="R79" s="175"/>
      <c r="S79" s="175"/>
      <c r="T79" s="175"/>
      <c r="U79" s="175">
        <f t="shared" si="29"/>
        <v>1901.6686200000008</v>
      </c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>
        <f t="shared" si="30"/>
        <v>3344.3137800000013</v>
      </c>
      <c r="AH79" s="175"/>
      <c r="AI79" s="175"/>
      <c r="AJ79" s="175"/>
      <c r="AK79" s="175"/>
      <c r="AL79" s="175"/>
      <c r="AM79" s="175"/>
      <c r="AN79" s="175"/>
      <c r="AO79" s="175">
        <f t="shared" si="26"/>
        <v>19803.58356000001</v>
      </c>
      <c r="AP79" s="176"/>
      <c r="AQ79" s="176"/>
      <c r="AR79" s="176"/>
      <c r="AS79" s="176"/>
      <c r="AT79" s="175">
        <f t="shared" si="31"/>
        <v>118821.50136000002</v>
      </c>
      <c r="AU79" s="176"/>
      <c r="AV79" s="176"/>
      <c r="AW79" s="176"/>
      <c r="AX79" s="176"/>
    </row>
    <row r="80" spans="1:50" ht="12.75">
      <c r="A80" s="4">
        <v>7</v>
      </c>
      <c r="B80" s="175">
        <f>B79+V11</f>
        <v>459023.4600000001</v>
      </c>
      <c r="C80" s="176"/>
      <c r="D80" s="176"/>
      <c r="E80" s="176"/>
      <c r="F80" s="175">
        <f t="shared" si="27"/>
        <v>14426.451600000008</v>
      </c>
      <c r="G80" s="175"/>
      <c r="H80" s="175"/>
      <c r="I80" s="175"/>
      <c r="J80" s="175"/>
      <c r="K80" s="175"/>
      <c r="L80" s="175"/>
      <c r="M80" s="175"/>
      <c r="N80" s="175"/>
      <c r="O80" s="175">
        <f t="shared" si="28"/>
        <v>131.14956000000006</v>
      </c>
      <c r="P80" s="175"/>
      <c r="Q80" s="175"/>
      <c r="R80" s="175"/>
      <c r="S80" s="175"/>
      <c r="T80" s="175"/>
      <c r="U80" s="175">
        <f t="shared" si="29"/>
        <v>1901.6686200000008</v>
      </c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>
        <f t="shared" si="30"/>
        <v>3344.3137800000013</v>
      </c>
      <c r="AH80" s="175"/>
      <c r="AI80" s="175"/>
      <c r="AJ80" s="175"/>
      <c r="AK80" s="175"/>
      <c r="AL80" s="175"/>
      <c r="AM80" s="175"/>
      <c r="AN80" s="175"/>
      <c r="AO80" s="175">
        <f t="shared" si="26"/>
        <v>19803.58356000001</v>
      </c>
      <c r="AP80" s="176"/>
      <c r="AQ80" s="176"/>
      <c r="AR80" s="176"/>
      <c r="AS80" s="176"/>
      <c r="AT80" s="175">
        <f t="shared" si="31"/>
        <v>138625.08492000002</v>
      </c>
      <c r="AU80" s="176"/>
      <c r="AV80" s="176"/>
      <c r="AW80" s="176"/>
      <c r="AX80" s="176"/>
    </row>
    <row r="81" spans="1:50" ht="12.75">
      <c r="A81" s="4">
        <v>8</v>
      </c>
      <c r="B81" s="175">
        <f>B80+V11</f>
        <v>524598.2400000001</v>
      </c>
      <c r="C81" s="176"/>
      <c r="D81" s="176"/>
      <c r="E81" s="176"/>
      <c r="F81" s="175">
        <f t="shared" si="27"/>
        <v>14426.451600000008</v>
      </c>
      <c r="G81" s="175"/>
      <c r="H81" s="175"/>
      <c r="I81" s="175"/>
      <c r="J81" s="175"/>
      <c r="K81" s="175"/>
      <c r="L81" s="175"/>
      <c r="M81" s="175"/>
      <c r="N81" s="175"/>
      <c r="O81" s="175">
        <f t="shared" si="28"/>
        <v>131.14956000000006</v>
      </c>
      <c r="P81" s="175"/>
      <c r="Q81" s="175"/>
      <c r="R81" s="175"/>
      <c r="S81" s="175"/>
      <c r="T81" s="175"/>
      <c r="U81" s="175">
        <f t="shared" si="29"/>
        <v>1901.6686200000008</v>
      </c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>
        <f t="shared" si="30"/>
        <v>3344.3137800000013</v>
      </c>
      <c r="AH81" s="175"/>
      <c r="AI81" s="175"/>
      <c r="AJ81" s="175"/>
      <c r="AK81" s="175"/>
      <c r="AL81" s="175"/>
      <c r="AM81" s="175"/>
      <c r="AN81" s="175"/>
      <c r="AO81" s="175">
        <f t="shared" si="26"/>
        <v>19803.58356000001</v>
      </c>
      <c r="AP81" s="176"/>
      <c r="AQ81" s="176"/>
      <c r="AR81" s="176"/>
      <c r="AS81" s="176"/>
      <c r="AT81" s="175">
        <f t="shared" si="31"/>
        <v>158428.66848000002</v>
      </c>
      <c r="AU81" s="176"/>
      <c r="AV81" s="176"/>
      <c r="AW81" s="176"/>
      <c r="AX81" s="176"/>
    </row>
    <row r="82" spans="1:50" ht="12.75">
      <c r="A82" s="4">
        <v>9</v>
      </c>
      <c r="B82" s="175">
        <f>B81+V11</f>
        <v>590173.0200000001</v>
      </c>
      <c r="C82" s="176"/>
      <c r="D82" s="176"/>
      <c r="E82" s="176"/>
      <c r="F82" s="175">
        <f t="shared" si="27"/>
        <v>14426.451600000008</v>
      </c>
      <c r="G82" s="175"/>
      <c r="H82" s="175"/>
      <c r="I82" s="175"/>
      <c r="J82" s="175"/>
      <c r="K82" s="175"/>
      <c r="L82" s="175"/>
      <c r="M82" s="175"/>
      <c r="N82" s="175"/>
      <c r="O82" s="175">
        <f t="shared" si="28"/>
        <v>131.14956000000006</v>
      </c>
      <c r="P82" s="175"/>
      <c r="Q82" s="175"/>
      <c r="R82" s="175"/>
      <c r="S82" s="175"/>
      <c r="T82" s="175"/>
      <c r="U82" s="175">
        <f t="shared" si="29"/>
        <v>1901.6686200000008</v>
      </c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>
        <f t="shared" si="30"/>
        <v>3344.3137800000013</v>
      </c>
      <c r="AH82" s="175"/>
      <c r="AI82" s="175"/>
      <c r="AJ82" s="175"/>
      <c r="AK82" s="175"/>
      <c r="AL82" s="175"/>
      <c r="AM82" s="175"/>
      <c r="AN82" s="175"/>
      <c r="AO82" s="175">
        <f t="shared" si="26"/>
        <v>19803.58356000001</v>
      </c>
      <c r="AP82" s="176"/>
      <c r="AQ82" s="176"/>
      <c r="AR82" s="176"/>
      <c r="AS82" s="176"/>
      <c r="AT82" s="175">
        <f t="shared" si="31"/>
        <v>178232.25204000002</v>
      </c>
      <c r="AU82" s="176"/>
      <c r="AV82" s="176"/>
      <c r="AW82" s="176"/>
      <c r="AX82" s="176"/>
    </row>
    <row r="83" spans="1:50" ht="12.75">
      <c r="A83" s="4">
        <v>10</v>
      </c>
      <c r="B83" s="175">
        <f>B82+V11</f>
        <v>655747.8000000002</v>
      </c>
      <c r="C83" s="176"/>
      <c r="D83" s="176"/>
      <c r="E83" s="176"/>
      <c r="F83" s="175">
        <f t="shared" si="27"/>
        <v>14426.451600000008</v>
      </c>
      <c r="G83" s="175"/>
      <c r="H83" s="175"/>
      <c r="I83" s="175"/>
      <c r="J83" s="175"/>
      <c r="K83" s="175"/>
      <c r="L83" s="175"/>
      <c r="M83" s="175"/>
      <c r="N83" s="175"/>
      <c r="O83" s="175">
        <f t="shared" si="28"/>
        <v>131.14956000000006</v>
      </c>
      <c r="P83" s="175"/>
      <c r="Q83" s="175"/>
      <c r="R83" s="175"/>
      <c r="S83" s="175"/>
      <c r="T83" s="175"/>
      <c r="U83" s="175">
        <f t="shared" si="29"/>
        <v>1901.6686200000008</v>
      </c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>
        <f t="shared" si="30"/>
        <v>3344.3137800000013</v>
      </c>
      <c r="AH83" s="175"/>
      <c r="AI83" s="175"/>
      <c r="AJ83" s="175"/>
      <c r="AK83" s="175"/>
      <c r="AL83" s="175"/>
      <c r="AM83" s="175"/>
      <c r="AN83" s="175"/>
      <c r="AO83" s="175">
        <f t="shared" si="26"/>
        <v>19803.58356000001</v>
      </c>
      <c r="AP83" s="176"/>
      <c r="AQ83" s="176"/>
      <c r="AR83" s="176"/>
      <c r="AS83" s="176"/>
      <c r="AT83" s="175">
        <f t="shared" si="31"/>
        <v>198035.83560000002</v>
      </c>
      <c r="AU83" s="176"/>
      <c r="AV83" s="176"/>
      <c r="AW83" s="176"/>
      <c r="AX83" s="176"/>
    </row>
    <row r="84" spans="1:50" ht="12.75">
      <c r="A84" s="4">
        <v>11</v>
      </c>
      <c r="B84" s="175">
        <f>B83+V11</f>
        <v>721322.5800000002</v>
      </c>
      <c r="C84" s="176"/>
      <c r="D84" s="176"/>
      <c r="E84" s="176"/>
      <c r="F84" s="175">
        <f t="shared" si="27"/>
        <v>14426.451600000008</v>
      </c>
      <c r="G84" s="175"/>
      <c r="H84" s="175"/>
      <c r="I84" s="175"/>
      <c r="J84" s="175"/>
      <c r="K84" s="175"/>
      <c r="L84" s="175"/>
      <c r="M84" s="175"/>
      <c r="N84" s="175"/>
      <c r="O84" s="175">
        <f t="shared" si="28"/>
        <v>131.14956000000006</v>
      </c>
      <c r="P84" s="175"/>
      <c r="Q84" s="175"/>
      <c r="R84" s="175"/>
      <c r="S84" s="175"/>
      <c r="T84" s="175"/>
      <c r="U84" s="175">
        <f t="shared" si="29"/>
        <v>1901.6686200000008</v>
      </c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>
        <f t="shared" si="30"/>
        <v>3344.3137800000013</v>
      </c>
      <c r="AH84" s="175"/>
      <c r="AI84" s="175"/>
      <c r="AJ84" s="175"/>
      <c r="AK84" s="175"/>
      <c r="AL84" s="175"/>
      <c r="AM84" s="175"/>
      <c r="AN84" s="175"/>
      <c r="AO84" s="175">
        <f t="shared" si="26"/>
        <v>19803.58356000001</v>
      </c>
      <c r="AP84" s="176"/>
      <c r="AQ84" s="176"/>
      <c r="AR84" s="176"/>
      <c r="AS84" s="176"/>
      <c r="AT84" s="175">
        <f t="shared" si="31"/>
        <v>217839.41916000002</v>
      </c>
      <c r="AU84" s="176"/>
      <c r="AV84" s="176"/>
      <c r="AW84" s="176"/>
      <c r="AX84" s="176"/>
    </row>
    <row r="85" spans="1:50" ht="12.75">
      <c r="A85" s="4">
        <v>12</v>
      </c>
      <c r="B85" s="175">
        <f>B84+V11</f>
        <v>786897.3600000002</v>
      </c>
      <c r="C85" s="176"/>
      <c r="D85" s="176"/>
      <c r="E85" s="176"/>
      <c r="F85" s="175">
        <f t="shared" si="27"/>
        <v>14426.451600000008</v>
      </c>
      <c r="G85" s="175"/>
      <c r="H85" s="175"/>
      <c r="I85" s="175"/>
      <c r="J85" s="175"/>
      <c r="K85" s="175"/>
      <c r="L85" s="175"/>
      <c r="M85" s="175"/>
      <c r="N85" s="175"/>
      <c r="O85" s="175">
        <f t="shared" si="28"/>
        <v>131.14956000000006</v>
      </c>
      <c r="P85" s="175"/>
      <c r="Q85" s="175"/>
      <c r="R85" s="175"/>
      <c r="S85" s="175"/>
      <c r="T85" s="175"/>
      <c r="U85" s="175">
        <f t="shared" si="29"/>
        <v>1901.6686200000008</v>
      </c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>
        <f t="shared" si="30"/>
        <v>3344.3137800000013</v>
      </c>
      <c r="AH85" s="175"/>
      <c r="AI85" s="175"/>
      <c r="AJ85" s="175"/>
      <c r="AK85" s="175"/>
      <c r="AL85" s="175"/>
      <c r="AM85" s="175"/>
      <c r="AN85" s="175"/>
      <c r="AO85" s="175">
        <f t="shared" si="26"/>
        <v>19803.58356000001</v>
      </c>
      <c r="AP85" s="176"/>
      <c r="AQ85" s="176"/>
      <c r="AR85" s="176"/>
      <c r="AS85" s="176"/>
      <c r="AT85" s="175">
        <f t="shared" si="31"/>
        <v>237643.00272000002</v>
      </c>
      <c r="AU85" s="176"/>
      <c r="AV85" s="176"/>
      <c r="AW85" s="176"/>
      <c r="AX85" s="176"/>
    </row>
    <row r="86" spans="1:30" ht="15.75" customHeight="1">
      <c r="A86" s="177" t="s">
        <v>497</v>
      </c>
      <c r="B86" s="177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</row>
    <row r="87" spans="1:19" ht="15.75" customHeight="1">
      <c r="A87" s="163" t="s">
        <v>74</v>
      </c>
      <c r="B87" s="164"/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5"/>
    </row>
    <row r="88" spans="1:19" ht="12.75">
      <c r="A88" s="169"/>
      <c r="B88" s="170"/>
      <c r="C88" s="170"/>
      <c r="D88" s="170"/>
      <c r="E88" s="170"/>
      <c r="F88" s="171"/>
      <c r="G88" s="166" t="s">
        <v>26</v>
      </c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8"/>
      <c r="S88" s="143" t="s">
        <v>58</v>
      </c>
    </row>
    <row r="89" spans="1:19" ht="12.75">
      <c r="A89" s="172"/>
      <c r="B89" s="173"/>
      <c r="C89" s="173"/>
      <c r="D89" s="173"/>
      <c r="E89" s="173"/>
      <c r="F89" s="174"/>
      <c r="G89" s="12">
        <v>44805</v>
      </c>
      <c r="H89" s="12">
        <v>44835</v>
      </c>
      <c r="I89" s="12">
        <v>44866</v>
      </c>
      <c r="J89" s="12">
        <v>44896</v>
      </c>
      <c r="K89" s="12">
        <v>44927</v>
      </c>
      <c r="L89" s="12">
        <v>44958</v>
      </c>
      <c r="M89" s="12">
        <v>44986</v>
      </c>
      <c r="N89" s="12">
        <v>45017</v>
      </c>
      <c r="O89" s="12">
        <v>45047</v>
      </c>
      <c r="P89" s="12">
        <v>45078</v>
      </c>
      <c r="Q89" s="12">
        <v>45108</v>
      </c>
      <c r="R89" s="12">
        <v>45139</v>
      </c>
      <c r="S89" s="138"/>
    </row>
    <row r="90" spans="1:19" ht="12.75">
      <c r="A90" s="160" t="s">
        <v>71</v>
      </c>
      <c r="B90" s="161"/>
      <c r="C90" s="161"/>
      <c r="D90" s="161"/>
      <c r="E90" s="161"/>
      <c r="F90" s="162"/>
      <c r="G90" s="15">
        <f>'График транспортирования'!D21</f>
        <v>160650</v>
      </c>
      <c r="H90" s="15">
        <f>'График транспортирования'!E21</f>
        <v>183600</v>
      </c>
      <c r="I90" s="15">
        <f>'График транспортирования'!F21</f>
        <v>229500</v>
      </c>
      <c r="J90" s="15">
        <f>'График транспортирования'!G21</f>
        <v>344250</v>
      </c>
      <c r="K90" s="15">
        <f>'График транспортирования'!H21</f>
        <v>459000</v>
      </c>
      <c r="L90" s="15">
        <f>'График транспортирования'!I21</f>
        <v>321300</v>
      </c>
      <c r="M90" s="15">
        <f>'График транспортирования'!J21</f>
        <v>183600</v>
      </c>
      <c r="N90" s="15">
        <f>'График транспортирования'!K21</f>
        <v>252450</v>
      </c>
      <c r="O90" s="15">
        <f>'График транспортирования'!L21</f>
        <v>0</v>
      </c>
      <c r="P90" s="15">
        <f>'График транспортирования'!M21</f>
        <v>22950</v>
      </c>
      <c r="Q90" s="15">
        <f>'График транспортирования'!N21</f>
        <v>45900</v>
      </c>
      <c r="R90" s="15">
        <f>'График транспортирования'!O21</f>
        <v>91800</v>
      </c>
      <c r="S90" s="14">
        <f>R90+Q90+P90+O90+N90+M90+L90+K90+J90+I90+H90+G90</f>
        <v>2295000</v>
      </c>
    </row>
    <row r="91" spans="1:19" ht="12.75">
      <c r="A91" s="160" t="s">
        <v>72</v>
      </c>
      <c r="B91" s="161"/>
      <c r="C91" s="161"/>
      <c r="D91" s="161"/>
      <c r="E91" s="161"/>
      <c r="F91" s="162"/>
      <c r="G91" s="8">
        <f aca="true" t="shared" si="32" ref="G91:R91">G90/1000*404.37/2</f>
        <v>32481.02025</v>
      </c>
      <c r="H91" s="8">
        <f t="shared" si="32"/>
        <v>37121.166</v>
      </c>
      <c r="I91" s="8">
        <f t="shared" si="32"/>
        <v>46401.457500000004</v>
      </c>
      <c r="J91" s="8">
        <f t="shared" si="32"/>
        <v>69602.18625</v>
      </c>
      <c r="K91" s="8">
        <f t="shared" si="32"/>
        <v>92802.91500000001</v>
      </c>
      <c r="L91" s="8">
        <f t="shared" si="32"/>
        <v>64962.0405</v>
      </c>
      <c r="M91" s="8">
        <f t="shared" si="32"/>
        <v>37121.166</v>
      </c>
      <c r="N91" s="8">
        <f t="shared" si="32"/>
        <v>51041.60325</v>
      </c>
      <c r="O91" s="8">
        <f t="shared" si="32"/>
        <v>0</v>
      </c>
      <c r="P91" s="8">
        <f t="shared" si="32"/>
        <v>4640.14575</v>
      </c>
      <c r="Q91" s="8">
        <f t="shared" si="32"/>
        <v>9280.2915</v>
      </c>
      <c r="R91" s="8">
        <f t="shared" si="32"/>
        <v>18560.583</v>
      </c>
      <c r="S91" s="9">
        <f>R91+Q91+P91+O91+N91+M91+L91+K91+J91+I91+H91+G91</f>
        <v>464014.575</v>
      </c>
    </row>
    <row r="92" spans="1:19" ht="12.75">
      <c r="A92" s="157" t="s">
        <v>498</v>
      </c>
      <c r="B92" s="158"/>
      <c r="C92" s="158"/>
      <c r="D92" s="158"/>
      <c r="E92" s="158"/>
      <c r="F92" s="159"/>
      <c r="G92" s="9">
        <f aca="true" t="shared" si="33" ref="G92:R92">G91+52377.34</f>
        <v>84858.36025</v>
      </c>
      <c r="H92" s="9">
        <f t="shared" si="33"/>
        <v>89498.506</v>
      </c>
      <c r="I92" s="9">
        <f t="shared" si="33"/>
        <v>98778.7975</v>
      </c>
      <c r="J92" s="9">
        <f t="shared" si="33"/>
        <v>121979.52625</v>
      </c>
      <c r="K92" s="9">
        <f t="shared" si="33"/>
        <v>145180.255</v>
      </c>
      <c r="L92" s="9">
        <f t="shared" si="33"/>
        <v>117339.3805</v>
      </c>
      <c r="M92" s="9">
        <f t="shared" si="33"/>
        <v>89498.506</v>
      </c>
      <c r="N92" s="9">
        <f t="shared" si="33"/>
        <v>103418.94325</v>
      </c>
      <c r="O92" s="9">
        <f t="shared" si="33"/>
        <v>52377.34</v>
      </c>
      <c r="P92" s="9">
        <f t="shared" si="33"/>
        <v>57017.48574999999</v>
      </c>
      <c r="Q92" s="9">
        <f t="shared" si="33"/>
        <v>61657.631499999996</v>
      </c>
      <c r="R92" s="9">
        <f t="shared" si="33"/>
        <v>70937.923</v>
      </c>
      <c r="S92" s="9">
        <f>R92+Q92+P92+O92+N92+M92+L92+K92+J92+I92+H92+G92</f>
        <v>1092542.6549999998</v>
      </c>
    </row>
    <row r="93" spans="1:19" ht="12.75">
      <c r="A93" s="160" t="s">
        <v>73</v>
      </c>
      <c r="B93" s="161"/>
      <c r="C93" s="161"/>
      <c r="D93" s="161"/>
      <c r="E93" s="161"/>
      <c r="F93" s="162"/>
      <c r="G93" s="8">
        <f aca="true" t="shared" si="34" ref="G93:R93">G90/1000*318.4/2</f>
        <v>25575.48</v>
      </c>
      <c r="H93" s="8">
        <f t="shared" si="34"/>
        <v>29229.119999999995</v>
      </c>
      <c r="I93" s="8">
        <f t="shared" si="34"/>
        <v>36536.399999999994</v>
      </c>
      <c r="J93" s="8">
        <f t="shared" si="34"/>
        <v>54804.6</v>
      </c>
      <c r="K93" s="8">
        <f t="shared" si="34"/>
        <v>73072.79999999999</v>
      </c>
      <c r="L93" s="8">
        <f t="shared" si="34"/>
        <v>51150.96</v>
      </c>
      <c r="M93" s="8">
        <f t="shared" si="34"/>
        <v>29229.119999999995</v>
      </c>
      <c r="N93" s="8">
        <f t="shared" si="34"/>
        <v>40190.03999999999</v>
      </c>
      <c r="O93" s="8">
        <f t="shared" si="34"/>
        <v>0</v>
      </c>
      <c r="P93" s="8">
        <f t="shared" si="34"/>
        <v>3653.6399999999994</v>
      </c>
      <c r="Q93" s="8">
        <f t="shared" si="34"/>
        <v>7307.279999999999</v>
      </c>
      <c r="R93" s="8">
        <f t="shared" si="34"/>
        <v>14614.559999999998</v>
      </c>
      <c r="S93" s="9">
        <f>R93+Q93+P93+O93+N93+M93+L93+K93+J93+I93+H93+G93</f>
        <v>365363.9999999999</v>
      </c>
    </row>
    <row r="94" spans="1:19" ht="12.75">
      <c r="A94" s="157" t="s">
        <v>499</v>
      </c>
      <c r="B94" s="158"/>
      <c r="C94" s="158"/>
      <c r="D94" s="158"/>
      <c r="E94" s="158"/>
      <c r="F94" s="159"/>
      <c r="G94" s="9">
        <f aca="true" t="shared" si="35" ref="G94:R94">G93+41242</f>
        <v>66817.48</v>
      </c>
      <c r="H94" s="9">
        <f t="shared" si="35"/>
        <v>70471.12</v>
      </c>
      <c r="I94" s="9">
        <f t="shared" si="35"/>
        <v>77778.4</v>
      </c>
      <c r="J94" s="9">
        <f t="shared" si="35"/>
        <v>96046.6</v>
      </c>
      <c r="K94" s="9">
        <f t="shared" si="35"/>
        <v>114314.79999999999</v>
      </c>
      <c r="L94" s="9">
        <f t="shared" si="35"/>
        <v>92392.95999999999</v>
      </c>
      <c r="M94" s="9">
        <f t="shared" si="35"/>
        <v>70471.12</v>
      </c>
      <c r="N94" s="9">
        <f t="shared" si="35"/>
        <v>81432.04</v>
      </c>
      <c r="O94" s="9">
        <f t="shared" si="35"/>
        <v>41242</v>
      </c>
      <c r="P94" s="9">
        <f t="shared" si="35"/>
        <v>44895.64</v>
      </c>
      <c r="Q94" s="9">
        <f t="shared" si="35"/>
        <v>48549.28</v>
      </c>
      <c r="R94" s="9">
        <f t="shared" si="35"/>
        <v>55856.56</v>
      </c>
      <c r="S94" s="9">
        <f>R94+Q94+P94+O94+N94+M94+L94+K94+J94+I94+H94+G94</f>
        <v>860267.9999999999</v>
      </c>
    </row>
    <row r="95" spans="1:19" ht="15.75">
      <c r="A95" s="163" t="s">
        <v>75</v>
      </c>
      <c r="B95" s="164"/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5"/>
    </row>
    <row r="96" spans="1:19" ht="12.75">
      <c r="A96" s="169"/>
      <c r="B96" s="170"/>
      <c r="C96" s="170"/>
      <c r="D96" s="170"/>
      <c r="E96" s="170"/>
      <c r="F96" s="171"/>
      <c r="G96" s="166" t="s">
        <v>26</v>
      </c>
      <c r="H96" s="167"/>
      <c r="I96" s="167"/>
      <c r="J96" s="167"/>
      <c r="K96" s="167"/>
      <c r="L96" s="167"/>
      <c r="M96" s="167"/>
      <c r="N96" s="167"/>
      <c r="O96" s="167"/>
      <c r="P96" s="167"/>
      <c r="Q96" s="167"/>
      <c r="R96" s="168"/>
      <c r="S96" s="143" t="s">
        <v>58</v>
      </c>
    </row>
    <row r="97" spans="1:19" ht="12.75">
      <c r="A97" s="172"/>
      <c r="B97" s="173"/>
      <c r="C97" s="173"/>
      <c r="D97" s="173"/>
      <c r="E97" s="173"/>
      <c r="F97" s="174"/>
      <c r="G97" s="6">
        <v>45170</v>
      </c>
      <c r="H97" s="6">
        <v>45200</v>
      </c>
      <c r="I97" s="6">
        <v>45231</v>
      </c>
      <c r="J97" s="6">
        <v>45261</v>
      </c>
      <c r="K97" s="6">
        <v>45292</v>
      </c>
      <c r="L97" s="6">
        <v>45323</v>
      </c>
      <c r="M97" s="6">
        <v>45352</v>
      </c>
      <c r="N97" s="6">
        <v>45383</v>
      </c>
      <c r="O97" s="6">
        <v>45413</v>
      </c>
      <c r="P97" s="6">
        <v>45444</v>
      </c>
      <c r="Q97" s="6">
        <v>45474</v>
      </c>
      <c r="R97" s="6">
        <v>45505</v>
      </c>
      <c r="S97" s="138"/>
    </row>
    <row r="98" spans="1:19" ht="12.75">
      <c r="A98" s="160" t="s">
        <v>71</v>
      </c>
      <c r="B98" s="161"/>
      <c r="C98" s="161"/>
      <c r="D98" s="161"/>
      <c r="E98" s="161"/>
      <c r="F98" s="162"/>
      <c r="G98" s="15">
        <f>'График транспортирования'!D29</f>
        <v>275400</v>
      </c>
      <c r="H98" s="15">
        <f>'График транспортирования'!E29</f>
        <v>413100</v>
      </c>
      <c r="I98" s="15">
        <f>'График транспортирования'!F29</f>
        <v>550800</v>
      </c>
      <c r="J98" s="15">
        <f>'График транспортирования'!G29</f>
        <v>688500</v>
      </c>
      <c r="K98" s="15">
        <f>'График транспортирования'!H29</f>
        <v>688500</v>
      </c>
      <c r="L98" s="15">
        <f>'График транспортирования'!I29</f>
        <v>688500</v>
      </c>
      <c r="M98" s="15">
        <f>'График транспортирования'!J29</f>
        <v>504900</v>
      </c>
      <c r="N98" s="15">
        <f>'График транспортирования'!K29</f>
        <v>527850</v>
      </c>
      <c r="O98" s="15">
        <f>'График транспортирования'!L29</f>
        <v>0</v>
      </c>
      <c r="P98" s="15">
        <f>'График транспортирования'!M29</f>
        <v>91800</v>
      </c>
      <c r="Q98" s="15">
        <f>'График транспортирования'!N29</f>
        <v>91800</v>
      </c>
      <c r="R98" s="15">
        <f>'График транспортирования'!O29</f>
        <v>229500</v>
      </c>
      <c r="S98" s="16">
        <f>R98+Q98+P98+O98+N98+M98+L98+K98+J98+I98+H98+G98</f>
        <v>4750650</v>
      </c>
    </row>
    <row r="99" spans="1:19" ht="12.75">
      <c r="A99" s="160" t="s">
        <v>72</v>
      </c>
      <c r="B99" s="161"/>
      <c r="C99" s="161"/>
      <c r="D99" s="161"/>
      <c r="E99" s="161"/>
      <c r="F99" s="162"/>
      <c r="G99" s="8">
        <f aca="true" t="shared" si="36" ref="G99:R99">G98/1000*404.37/3</f>
        <v>37121.166</v>
      </c>
      <c r="H99" s="8">
        <f t="shared" si="36"/>
        <v>55681.749</v>
      </c>
      <c r="I99" s="8">
        <f t="shared" si="36"/>
        <v>74242.332</v>
      </c>
      <c r="J99" s="8">
        <f t="shared" si="36"/>
        <v>92802.915</v>
      </c>
      <c r="K99" s="8">
        <f t="shared" si="36"/>
        <v>92802.915</v>
      </c>
      <c r="L99" s="8">
        <f t="shared" si="36"/>
        <v>92802.915</v>
      </c>
      <c r="M99" s="8">
        <f t="shared" si="36"/>
        <v>68055.471</v>
      </c>
      <c r="N99" s="8">
        <f t="shared" si="36"/>
        <v>71148.9015</v>
      </c>
      <c r="O99" s="8">
        <f t="shared" si="36"/>
        <v>0</v>
      </c>
      <c r="P99" s="8">
        <f t="shared" si="36"/>
        <v>12373.722</v>
      </c>
      <c r="Q99" s="8">
        <f t="shared" si="36"/>
        <v>12373.722</v>
      </c>
      <c r="R99" s="8">
        <f t="shared" si="36"/>
        <v>30934.305000000004</v>
      </c>
      <c r="S99" s="9">
        <f>R99+Q99+P99+O99+N99+M99+L99+K99+J99+I99+H99+G99</f>
        <v>640340.1134999999</v>
      </c>
    </row>
    <row r="100" spans="1:19" ht="12.75">
      <c r="A100" s="157" t="s">
        <v>498</v>
      </c>
      <c r="B100" s="158"/>
      <c r="C100" s="158"/>
      <c r="D100" s="158"/>
      <c r="E100" s="158"/>
      <c r="F100" s="159"/>
      <c r="G100" s="9">
        <f aca="true" t="shared" si="37" ref="G100:R100">G99+52377.34</f>
        <v>89498.506</v>
      </c>
      <c r="H100" s="9">
        <f t="shared" si="37"/>
        <v>108059.089</v>
      </c>
      <c r="I100" s="9">
        <f t="shared" si="37"/>
        <v>126619.67199999999</v>
      </c>
      <c r="J100" s="9">
        <f t="shared" si="37"/>
        <v>145180.255</v>
      </c>
      <c r="K100" s="9">
        <f t="shared" si="37"/>
        <v>145180.255</v>
      </c>
      <c r="L100" s="9">
        <f t="shared" si="37"/>
        <v>145180.255</v>
      </c>
      <c r="M100" s="9">
        <f t="shared" si="37"/>
        <v>120432.811</v>
      </c>
      <c r="N100" s="9">
        <f t="shared" si="37"/>
        <v>123526.2415</v>
      </c>
      <c r="O100" s="9">
        <f t="shared" si="37"/>
        <v>52377.34</v>
      </c>
      <c r="P100" s="9">
        <f t="shared" si="37"/>
        <v>64751.062</v>
      </c>
      <c r="Q100" s="9">
        <f t="shared" si="37"/>
        <v>64751.062</v>
      </c>
      <c r="R100" s="9">
        <f t="shared" si="37"/>
        <v>83311.645</v>
      </c>
      <c r="S100" s="9">
        <f>R100+Q100+P100+O100+N100+M100+L100+K100+J100+I100+H100+G100</f>
        <v>1268868.1935</v>
      </c>
    </row>
    <row r="101" spans="1:19" ht="12.75">
      <c r="A101" s="160" t="s">
        <v>73</v>
      </c>
      <c r="B101" s="161"/>
      <c r="C101" s="161"/>
      <c r="D101" s="161"/>
      <c r="E101" s="161"/>
      <c r="F101" s="162"/>
      <c r="G101" s="8">
        <f aca="true" t="shared" si="38" ref="G101:R101">G98/1000*318.4/3</f>
        <v>29229.119999999995</v>
      </c>
      <c r="H101" s="8">
        <f t="shared" si="38"/>
        <v>43843.68</v>
      </c>
      <c r="I101" s="8">
        <f t="shared" si="38"/>
        <v>58458.23999999999</v>
      </c>
      <c r="J101" s="8">
        <f t="shared" si="38"/>
        <v>73072.8</v>
      </c>
      <c r="K101" s="8">
        <f t="shared" si="38"/>
        <v>73072.8</v>
      </c>
      <c r="L101" s="8">
        <f t="shared" si="38"/>
        <v>73072.8</v>
      </c>
      <c r="M101" s="8">
        <f t="shared" si="38"/>
        <v>53586.719999999994</v>
      </c>
      <c r="N101" s="8">
        <f t="shared" si="38"/>
        <v>56022.48</v>
      </c>
      <c r="O101" s="8">
        <f t="shared" si="38"/>
        <v>0</v>
      </c>
      <c r="P101" s="8">
        <f t="shared" si="38"/>
        <v>9743.039999999999</v>
      </c>
      <c r="Q101" s="8">
        <f t="shared" si="38"/>
        <v>9743.039999999999</v>
      </c>
      <c r="R101" s="8">
        <f t="shared" si="38"/>
        <v>24357.599999999995</v>
      </c>
      <c r="S101" s="9">
        <f>R101+Q101+P101+O101+N101+M101+L101+K101+J101+I101+H101+G101</f>
        <v>504202.31999999995</v>
      </c>
    </row>
    <row r="102" spans="1:19" ht="12.75">
      <c r="A102" s="157" t="s">
        <v>499</v>
      </c>
      <c r="B102" s="158"/>
      <c r="C102" s="158"/>
      <c r="D102" s="158"/>
      <c r="E102" s="158"/>
      <c r="F102" s="159"/>
      <c r="G102" s="9">
        <f aca="true" t="shared" si="39" ref="G102:R102">G101+41242</f>
        <v>70471.12</v>
      </c>
      <c r="H102" s="9">
        <f t="shared" si="39"/>
        <v>85085.68</v>
      </c>
      <c r="I102" s="9">
        <f t="shared" si="39"/>
        <v>99700.23999999999</v>
      </c>
      <c r="J102" s="9">
        <f t="shared" si="39"/>
        <v>114314.8</v>
      </c>
      <c r="K102" s="9">
        <f t="shared" si="39"/>
        <v>114314.8</v>
      </c>
      <c r="L102" s="9">
        <f t="shared" si="39"/>
        <v>114314.8</v>
      </c>
      <c r="M102" s="9">
        <f t="shared" si="39"/>
        <v>94828.72</v>
      </c>
      <c r="N102" s="9">
        <f t="shared" si="39"/>
        <v>97264.48000000001</v>
      </c>
      <c r="O102" s="9">
        <f t="shared" si="39"/>
        <v>41242</v>
      </c>
      <c r="P102" s="9">
        <f t="shared" si="39"/>
        <v>50985.04</v>
      </c>
      <c r="Q102" s="9">
        <f t="shared" si="39"/>
        <v>50985.04</v>
      </c>
      <c r="R102" s="9">
        <f t="shared" si="39"/>
        <v>65599.59999999999</v>
      </c>
      <c r="S102" s="9">
        <f>R102+Q102+P102+O102+N102+M102+L102+K102+J102+I102+H102+G102</f>
        <v>999106.32</v>
      </c>
    </row>
    <row r="103" spans="1:19" ht="15.75">
      <c r="A103" s="163" t="s">
        <v>76</v>
      </c>
      <c r="B103" s="164"/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5"/>
    </row>
    <row r="104" spans="1:19" ht="12.75">
      <c r="A104" s="169"/>
      <c r="B104" s="170"/>
      <c r="C104" s="170"/>
      <c r="D104" s="170"/>
      <c r="E104" s="170"/>
      <c r="F104" s="171"/>
      <c r="G104" s="166" t="s">
        <v>26</v>
      </c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8"/>
      <c r="S104" s="143" t="s">
        <v>58</v>
      </c>
    </row>
    <row r="105" spans="1:19" ht="12.75">
      <c r="A105" s="172"/>
      <c r="B105" s="173"/>
      <c r="C105" s="173"/>
      <c r="D105" s="173"/>
      <c r="E105" s="173"/>
      <c r="F105" s="174"/>
      <c r="G105" s="6">
        <v>45536</v>
      </c>
      <c r="H105" s="6">
        <v>45566</v>
      </c>
      <c r="I105" s="6">
        <v>45597</v>
      </c>
      <c r="J105" s="6">
        <v>45627</v>
      </c>
      <c r="K105" s="6">
        <v>45658</v>
      </c>
      <c r="L105" s="6">
        <v>45689</v>
      </c>
      <c r="M105" s="6">
        <v>45717</v>
      </c>
      <c r="N105" s="6">
        <v>45748</v>
      </c>
      <c r="O105" s="6">
        <v>45778</v>
      </c>
      <c r="P105" s="6">
        <v>45809</v>
      </c>
      <c r="Q105" s="6">
        <v>45839</v>
      </c>
      <c r="R105" s="6">
        <v>45870</v>
      </c>
      <c r="S105" s="138"/>
    </row>
    <row r="106" spans="1:19" ht="12.75">
      <c r="A106" s="160" t="s">
        <v>71</v>
      </c>
      <c r="B106" s="161"/>
      <c r="C106" s="161"/>
      <c r="D106" s="161"/>
      <c r="E106" s="161"/>
      <c r="F106" s="162"/>
      <c r="G106" s="15">
        <f>'График транспортирования'!D37</f>
        <v>183600</v>
      </c>
      <c r="H106" s="15">
        <f>'График транспортирования'!E37</f>
        <v>413100</v>
      </c>
      <c r="I106" s="15">
        <f>'График транспортирования'!F37</f>
        <v>550800</v>
      </c>
      <c r="J106" s="15">
        <f>'График транспортирования'!G37</f>
        <v>688500</v>
      </c>
      <c r="K106" s="15">
        <f>'График транспортирования'!H37</f>
        <v>688500</v>
      </c>
      <c r="L106" s="15">
        <f>'График транспортирования'!I37</f>
        <v>688500</v>
      </c>
      <c r="M106" s="15">
        <f>'График транспортирования'!J37</f>
        <v>527850</v>
      </c>
      <c r="N106" s="15">
        <f>'График транспортирования'!K37</f>
        <v>527850</v>
      </c>
      <c r="O106" s="15">
        <f>'График транспортирования'!L37</f>
        <v>0</v>
      </c>
      <c r="P106" s="15">
        <f>'График транспортирования'!M37</f>
        <v>68850</v>
      </c>
      <c r="Q106" s="15">
        <f>'График транспортирования'!N37</f>
        <v>91800</v>
      </c>
      <c r="R106" s="15">
        <f>'График транспортирования'!O37</f>
        <v>252450</v>
      </c>
      <c r="S106" s="16">
        <f>R106+Q106+P106+O106+N106+M106+L106+K106+J106+I106+H106+G106</f>
        <v>4681800</v>
      </c>
    </row>
    <row r="107" spans="1:19" ht="12.75">
      <c r="A107" s="160" t="s">
        <v>72</v>
      </c>
      <c r="B107" s="161"/>
      <c r="C107" s="161"/>
      <c r="D107" s="161"/>
      <c r="E107" s="161"/>
      <c r="F107" s="162"/>
      <c r="G107" s="8">
        <f aca="true" t="shared" si="40" ref="G107:R107">G106/1000*404.37/3</f>
        <v>24747.444</v>
      </c>
      <c r="H107" s="8">
        <f t="shared" si="40"/>
        <v>55681.749</v>
      </c>
      <c r="I107" s="8">
        <f t="shared" si="40"/>
        <v>74242.332</v>
      </c>
      <c r="J107" s="8">
        <f t="shared" si="40"/>
        <v>92802.915</v>
      </c>
      <c r="K107" s="8">
        <f t="shared" si="40"/>
        <v>92802.915</v>
      </c>
      <c r="L107" s="8">
        <f t="shared" si="40"/>
        <v>92802.915</v>
      </c>
      <c r="M107" s="8">
        <f t="shared" si="40"/>
        <v>71148.9015</v>
      </c>
      <c r="N107" s="8">
        <f t="shared" si="40"/>
        <v>71148.9015</v>
      </c>
      <c r="O107" s="8">
        <f t="shared" si="40"/>
        <v>0</v>
      </c>
      <c r="P107" s="8">
        <f t="shared" si="40"/>
        <v>9280.2915</v>
      </c>
      <c r="Q107" s="8">
        <f t="shared" si="40"/>
        <v>12373.722</v>
      </c>
      <c r="R107" s="8">
        <f t="shared" si="40"/>
        <v>34027.7355</v>
      </c>
      <c r="S107" s="9">
        <f>R107+Q107+P107+O107+N107+M107+L107+K107+J107+I107+H107+G107</f>
        <v>631059.8219999999</v>
      </c>
    </row>
    <row r="108" spans="1:19" ht="12.75">
      <c r="A108" s="157" t="s">
        <v>498</v>
      </c>
      <c r="B108" s="158"/>
      <c r="C108" s="158"/>
      <c r="D108" s="158"/>
      <c r="E108" s="158"/>
      <c r="F108" s="159"/>
      <c r="G108" s="9">
        <f aca="true" t="shared" si="41" ref="G108:R108">G107+52377.34</f>
        <v>77124.784</v>
      </c>
      <c r="H108" s="9">
        <f t="shared" si="41"/>
        <v>108059.089</v>
      </c>
      <c r="I108" s="9">
        <f t="shared" si="41"/>
        <v>126619.67199999999</v>
      </c>
      <c r="J108" s="9">
        <f t="shared" si="41"/>
        <v>145180.255</v>
      </c>
      <c r="K108" s="9">
        <f t="shared" si="41"/>
        <v>145180.255</v>
      </c>
      <c r="L108" s="9">
        <f t="shared" si="41"/>
        <v>145180.255</v>
      </c>
      <c r="M108" s="9">
        <f t="shared" si="41"/>
        <v>123526.2415</v>
      </c>
      <c r="N108" s="9">
        <f t="shared" si="41"/>
        <v>123526.2415</v>
      </c>
      <c r="O108" s="9">
        <f t="shared" si="41"/>
        <v>52377.34</v>
      </c>
      <c r="P108" s="9">
        <f t="shared" si="41"/>
        <v>61657.631499999996</v>
      </c>
      <c r="Q108" s="9">
        <f t="shared" si="41"/>
        <v>64751.062</v>
      </c>
      <c r="R108" s="9">
        <f t="shared" si="41"/>
        <v>86405.0755</v>
      </c>
      <c r="S108" s="9">
        <f>R108+Q108+P108+O108+N108+M108+L108+K108+J108+I108+H108+G108</f>
        <v>1259587.902</v>
      </c>
    </row>
    <row r="109" spans="1:19" ht="12.75">
      <c r="A109" s="160" t="s">
        <v>73</v>
      </c>
      <c r="B109" s="161"/>
      <c r="C109" s="161"/>
      <c r="D109" s="161"/>
      <c r="E109" s="161"/>
      <c r="F109" s="162"/>
      <c r="G109" s="8">
        <f aca="true" t="shared" si="42" ref="G109:R109">G106/1000*318.4/3</f>
        <v>19486.079999999998</v>
      </c>
      <c r="H109" s="8">
        <f t="shared" si="42"/>
        <v>43843.68</v>
      </c>
      <c r="I109" s="8">
        <f t="shared" si="42"/>
        <v>58458.23999999999</v>
      </c>
      <c r="J109" s="8">
        <f t="shared" si="42"/>
        <v>73072.8</v>
      </c>
      <c r="K109" s="8">
        <f t="shared" si="42"/>
        <v>73072.8</v>
      </c>
      <c r="L109" s="8">
        <f t="shared" si="42"/>
        <v>73072.8</v>
      </c>
      <c r="M109" s="8">
        <f t="shared" si="42"/>
        <v>56022.48</v>
      </c>
      <c r="N109" s="8">
        <f t="shared" si="42"/>
        <v>56022.48</v>
      </c>
      <c r="O109" s="8">
        <f t="shared" si="42"/>
        <v>0</v>
      </c>
      <c r="P109" s="8">
        <f t="shared" si="42"/>
        <v>7307.279999999999</v>
      </c>
      <c r="Q109" s="8">
        <f t="shared" si="42"/>
        <v>9743.039999999999</v>
      </c>
      <c r="R109" s="8">
        <f t="shared" si="42"/>
        <v>26793.359999999997</v>
      </c>
      <c r="S109" s="9">
        <f>R109+Q109+P109+O109+N109+M109+L109+K109+J109+I109+H109+G109</f>
        <v>496895.04</v>
      </c>
    </row>
    <row r="110" spans="1:19" ht="12.75">
      <c r="A110" s="157" t="s">
        <v>499</v>
      </c>
      <c r="B110" s="158"/>
      <c r="C110" s="158"/>
      <c r="D110" s="158"/>
      <c r="E110" s="158"/>
      <c r="F110" s="159"/>
      <c r="G110" s="9">
        <f aca="true" t="shared" si="43" ref="G110:R110">G109+41242</f>
        <v>60728.08</v>
      </c>
      <c r="H110" s="9">
        <f t="shared" si="43"/>
        <v>85085.68</v>
      </c>
      <c r="I110" s="9">
        <f t="shared" si="43"/>
        <v>99700.23999999999</v>
      </c>
      <c r="J110" s="9">
        <f t="shared" si="43"/>
        <v>114314.8</v>
      </c>
      <c r="K110" s="9">
        <f t="shared" si="43"/>
        <v>114314.8</v>
      </c>
      <c r="L110" s="9">
        <f t="shared" si="43"/>
        <v>114314.8</v>
      </c>
      <c r="M110" s="9">
        <f t="shared" si="43"/>
        <v>97264.48000000001</v>
      </c>
      <c r="N110" s="9">
        <f t="shared" si="43"/>
        <v>97264.48000000001</v>
      </c>
      <c r="O110" s="9">
        <f t="shared" si="43"/>
        <v>41242</v>
      </c>
      <c r="P110" s="9">
        <f t="shared" si="43"/>
        <v>48549.28</v>
      </c>
      <c r="Q110" s="9">
        <f t="shared" si="43"/>
        <v>50985.04</v>
      </c>
      <c r="R110" s="9">
        <f t="shared" si="43"/>
        <v>68035.36</v>
      </c>
      <c r="S110" s="9">
        <f>R110+Q110+P110+O110+N110+M110+L110+K110+J110+I110+H110+G110</f>
        <v>991799.0399999999</v>
      </c>
    </row>
    <row r="111" spans="1:19" ht="15.75">
      <c r="A111" s="163" t="s">
        <v>77</v>
      </c>
      <c r="B111" s="164"/>
      <c r="C111" s="164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5"/>
    </row>
    <row r="112" spans="1:19" ht="12.75">
      <c r="A112" s="169"/>
      <c r="B112" s="170"/>
      <c r="C112" s="170"/>
      <c r="D112" s="170"/>
      <c r="E112" s="170"/>
      <c r="F112" s="171"/>
      <c r="G112" s="166" t="s">
        <v>26</v>
      </c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8"/>
      <c r="S112" s="143" t="s">
        <v>58</v>
      </c>
    </row>
    <row r="113" spans="1:19" ht="12.75">
      <c r="A113" s="172"/>
      <c r="B113" s="173"/>
      <c r="C113" s="173"/>
      <c r="D113" s="173"/>
      <c r="E113" s="173"/>
      <c r="F113" s="174"/>
      <c r="G113" s="6">
        <v>45901</v>
      </c>
      <c r="H113" s="6">
        <v>45931</v>
      </c>
      <c r="I113" s="6">
        <v>45962</v>
      </c>
      <c r="J113" s="6">
        <v>45992</v>
      </c>
      <c r="K113" s="6">
        <v>46023</v>
      </c>
      <c r="L113" s="6">
        <v>46054</v>
      </c>
      <c r="M113" s="6">
        <v>46082</v>
      </c>
      <c r="N113" s="6">
        <v>46113</v>
      </c>
      <c r="O113" s="6">
        <v>46143</v>
      </c>
      <c r="P113" s="6">
        <v>46174</v>
      </c>
      <c r="Q113" s="6">
        <v>46204</v>
      </c>
      <c r="R113" s="6">
        <v>46235</v>
      </c>
      <c r="S113" s="138"/>
    </row>
    <row r="114" spans="1:19" ht="12.75">
      <c r="A114" s="160" t="s">
        <v>71</v>
      </c>
      <c r="B114" s="161"/>
      <c r="C114" s="161"/>
      <c r="D114" s="161"/>
      <c r="E114" s="161"/>
      <c r="F114" s="162"/>
      <c r="G114" s="15">
        <f>'График транспортирования'!D45</f>
        <v>160650</v>
      </c>
      <c r="H114" s="15">
        <f>'График транспортирования'!E45</f>
        <v>413100</v>
      </c>
      <c r="I114" s="15">
        <f>'График транспортирования'!F45</f>
        <v>550800</v>
      </c>
      <c r="J114" s="15">
        <f>'График транспортирования'!G45</f>
        <v>688500</v>
      </c>
      <c r="K114" s="15">
        <f>'График транспортирования'!H45</f>
        <v>688500</v>
      </c>
      <c r="L114" s="15">
        <f>'График транспортирования'!I45</f>
        <v>688500</v>
      </c>
      <c r="M114" s="15">
        <f>'График транспортирования'!J45</f>
        <v>527850</v>
      </c>
      <c r="N114" s="15">
        <f>'График транспортирования'!K45</f>
        <v>527850</v>
      </c>
      <c r="O114" s="15">
        <f>'График транспортирования'!L45</f>
        <v>0</v>
      </c>
      <c r="P114" s="15">
        <f>'График транспортирования'!M45</f>
        <v>68850</v>
      </c>
      <c r="Q114" s="15">
        <f>'График транспортирования'!N45</f>
        <v>91800</v>
      </c>
      <c r="R114" s="15">
        <f>'График транспортирования'!O45</f>
        <v>252450</v>
      </c>
      <c r="S114" s="16">
        <f>R114+Q114+P114+O114+N114+M114+L114+K114+J114+I114+H114+G114</f>
        <v>4658850</v>
      </c>
    </row>
    <row r="115" spans="1:19" ht="12.75">
      <c r="A115" s="160" t="s">
        <v>72</v>
      </c>
      <c r="B115" s="161"/>
      <c r="C115" s="161"/>
      <c r="D115" s="161"/>
      <c r="E115" s="161"/>
      <c r="F115" s="162"/>
      <c r="G115" s="8">
        <f aca="true" t="shared" si="44" ref="G115:R115">G114/1000*404.37/3</f>
        <v>21654.0135</v>
      </c>
      <c r="H115" s="8">
        <f t="shared" si="44"/>
        <v>55681.749</v>
      </c>
      <c r="I115" s="8">
        <f t="shared" si="44"/>
        <v>74242.332</v>
      </c>
      <c r="J115" s="8">
        <f t="shared" si="44"/>
        <v>92802.915</v>
      </c>
      <c r="K115" s="8">
        <f t="shared" si="44"/>
        <v>92802.915</v>
      </c>
      <c r="L115" s="8">
        <f t="shared" si="44"/>
        <v>92802.915</v>
      </c>
      <c r="M115" s="8">
        <f t="shared" si="44"/>
        <v>71148.9015</v>
      </c>
      <c r="N115" s="8">
        <f t="shared" si="44"/>
        <v>71148.9015</v>
      </c>
      <c r="O115" s="8">
        <f t="shared" si="44"/>
        <v>0</v>
      </c>
      <c r="P115" s="8">
        <f t="shared" si="44"/>
        <v>9280.2915</v>
      </c>
      <c r="Q115" s="8">
        <f t="shared" si="44"/>
        <v>12373.722</v>
      </c>
      <c r="R115" s="8">
        <f t="shared" si="44"/>
        <v>34027.7355</v>
      </c>
      <c r="S115" s="9">
        <f>R115+Q115+P115+O115+N115+M115+L115+K115+J115+I115+H115+G115</f>
        <v>627966.3914999999</v>
      </c>
    </row>
    <row r="116" spans="1:19" ht="12.75">
      <c r="A116" s="157" t="s">
        <v>498</v>
      </c>
      <c r="B116" s="158"/>
      <c r="C116" s="158"/>
      <c r="D116" s="158"/>
      <c r="E116" s="158"/>
      <c r="F116" s="159"/>
      <c r="G116" s="9">
        <f aca="true" t="shared" si="45" ref="G116:R116">G115+52377.34</f>
        <v>74031.3535</v>
      </c>
      <c r="H116" s="9">
        <f t="shared" si="45"/>
        <v>108059.089</v>
      </c>
      <c r="I116" s="9">
        <f t="shared" si="45"/>
        <v>126619.67199999999</v>
      </c>
      <c r="J116" s="9">
        <f t="shared" si="45"/>
        <v>145180.255</v>
      </c>
      <c r="K116" s="9">
        <f t="shared" si="45"/>
        <v>145180.255</v>
      </c>
      <c r="L116" s="9">
        <f t="shared" si="45"/>
        <v>145180.255</v>
      </c>
      <c r="M116" s="9">
        <f t="shared" si="45"/>
        <v>123526.2415</v>
      </c>
      <c r="N116" s="9">
        <f t="shared" si="45"/>
        <v>123526.2415</v>
      </c>
      <c r="O116" s="9">
        <f t="shared" si="45"/>
        <v>52377.34</v>
      </c>
      <c r="P116" s="9">
        <f t="shared" si="45"/>
        <v>61657.631499999996</v>
      </c>
      <c r="Q116" s="9">
        <f t="shared" si="45"/>
        <v>64751.062</v>
      </c>
      <c r="R116" s="9">
        <f t="shared" si="45"/>
        <v>86405.0755</v>
      </c>
      <c r="S116" s="9">
        <f>R116+Q116+P116+O116+N116+M116+L116+K116+J116+I116+H116+G116</f>
        <v>1256494.4715</v>
      </c>
    </row>
    <row r="117" spans="1:19" ht="12.75">
      <c r="A117" s="160" t="s">
        <v>73</v>
      </c>
      <c r="B117" s="161"/>
      <c r="C117" s="161"/>
      <c r="D117" s="161"/>
      <c r="E117" s="161"/>
      <c r="F117" s="162"/>
      <c r="G117" s="8">
        <f aca="true" t="shared" si="46" ref="G117:R117">G114/1000*318.4/3</f>
        <v>17050.32</v>
      </c>
      <c r="H117" s="8">
        <f t="shared" si="46"/>
        <v>43843.68</v>
      </c>
      <c r="I117" s="8">
        <f t="shared" si="46"/>
        <v>58458.23999999999</v>
      </c>
      <c r="J117" s="8">
        <f t="shared" si="46"/>
        <v>73072.8</v>
      </c>
      <c r="K117" s="8">
        <f t="shared" si="46"/>
        <v>73072.8</v>
      </c>
      <c r="L117" s="8">
        <f t="shared" si="46"/>
        <v>73072.8</v>
      </c>
      <c r="M117" s="8">
        <f t="shared" si="46"/>
        <v>56022.48</v>
      </c>
      <c r="N117" s="8">
        <f t="shared" si="46"/>
        <v>56022.48</v>
      </c>
      <c r="O117" s="8">
        <f t="shared" si="46"/>
        <v>0</v>
      </c>
      <c r="P117" s="8">
        <f t="shared" si="46"/>
        <v>7307.279999999999</v>
      </c>
      <c r="Q117" s="8">
        <f t="shared" si="46"/>
        <v>9743.039999999999</v>
      </c>
      <c r="R117" s="8">
        <f t="shared" si="46"/>
        <v>26793.359999999997</v>
      </c>
      <c r="S117" s="9">
        <f>R117+Q117+P117+O117+N117+M117+L117+K117+J117+I117+H117+G117</f>
        <v>494459.27999999997</v>
      </c>
    </row>
    <row r="118" spans="1:19" ht="12.75">
      <c r="A118" s="157" t="s">
        <v>499</v>
      </c>
      <c r="B118" s="158"/>
      <c r="C118" s="158"/>
      <c r="D118" s="158"/>
      <c r="E118" s="158"/>
      <c r="F118" s="159"/>
      <c r="G118" s="9">
        <f aca="true" t="shared" si="47" ref="G118:R118">G117+41242</f>
        <v>58292.32</v>
      </c>
      <c r="H118" s="9">
        <f t="shared" si="47"/>
        <v>85085.68</v>
      </c>
      <c r="I118" s="9">
        <f t="shared" si="47"/>
        <v>99700.23999999999</v>
      </c>
      <c r="J118" s="9">
        <f t="shared" si="47"/>
        <v>114314.8</v>
      </c>
      <c r="K118" s="9">
        <f t="shared" si="47"/>
        <v>114314.8</v>
      </c>
      <c r="L118" s="9">
        <f t="shared" si="47"/>
        <v>114314.8</v>
      </c>
      <c r="M118" s="9">
        <f t="shared" si="47"/>
        <v>97264.48000000001</v>
      </c>
      <c r="N118" s="9">
        <f t="shared" si="47"/>
        <v>97264.48000000001</v>
      </c>
      <c r="O118" s="9">
        <f t="shared" si="47"/>
        <v>41242</v>
      </c>
      <c r="P118" s="9">
        <f t="shared" si="47"/>
        <v>48549.28</v>
      </c>
      <c r="Q118" s="9">
        <f t="shared" si="47"/>
        <v>50985.04</v>
      </c>
      <c r="R118" s="9">
        <f t="shared" si="47"/>
        <v>68035.36</v>
      </c>
      <c r="S118" s="9">
        <f>R118+Q118+P118+O118+N118+M118+L118+K118+J118+I118+H118+G118</f>
        <v>989363.2799999999</v>
      </c>
    </row>
    <row r="119" spans="1:19" ht="15.75">
      <c r="A119" s="163" t="s">
        <v>78</v>
      </c>
      <c r="B119" s="164"/>
      <c r="C119" s="164"/>
      <c r="D119" s="164"/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5"/>
    </row>
    <row r="120" spans="1:19" ht="12.75">
      <c r="A120" s="169"/>
      <c r="B120" s="170"/>
      <c r="C120" s="170"/>
      <c r="D120" s="170"/>
      <c r="E120" s="170"/>
      <c r="F120" s="171"/>
      <c r="G120" s="166" t="s">
        <v>26</v>
      </c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8"/>
      <c r="S120" s="143" t="s">
        <v>58</v>
      </c>
    </row>
    <row r="121" spans="1:19" ht="12.75">
      <c r="A121" s="172"/>
      <c r="B121" s="173"/>
      <c r="C121" s="173"/>
      <c r="D121" s="173"/>
      <c r="E121" s="173"/>
      <c r="F121" s="174"/>
      <c r="G121" s="6">
        <v>46266</v>
      </c>
      <c r="H121" s="6">
        <v>46296</v>
      </c>
      <c r="I121" s="6">
        <v>46327</v>
      </c>
      <c r="J121" s="6">
        <v>46357</v>
      </c>
      <c r="K121" s="6">
        <v>46388</v>
      </c>
      <c r="L121" s="6">
        <v>46419</v>
      </c>
      <c r="M121" s="6">
        <v>46447</v>
      </c>
      <c r="N121" s="6">
        <v>46478</v>
      </c>
      <c r="O121" s="6">
        <v>46508</v>
      </c>
      <c r="P121" s="6">
        <v>46539</v>
      </c>
      <c r="Q121" s="6">
        <v>46569</v>
      </c>
      <c r="R121" s="6">
        <v>46600</v>
      </c>
      <c r="S121" s="138"/>
    </row>
    <row r="122" spans="1:19" ht="12.75">
      <c r="A122" s="160" t="s">
        <v>71</v>
      </c>
      <c r="B122" s="161"/>
      <c r="C122" s="161"/>
      <c r="D122" s="161"/>
      <c r="E122" s="161"/>
      <c r="F122" s="162"/>
      <c r="G122" s="15">
        <f>'График транспортирования'!D53</f>
        <v>183600</v>
      </c>
      <c r="H122" s="15">
        <f>'График транспортирования'!E53</f>
        <v>390150</v>
      </c>
      <c r="I122" s="15">
        <f>'График транспортирования'!F53</f>
        <v>550800</v>
      </c>
      <c r="J122" s="15">
        <f>'График транспортирования'!G53</f>
        <v>688500</v>
      </c>
      <c r="K122" s="15">
        <f>'График транспортирования'!H53</f>
        <v>688500</v>
      </c>
      <c r="L122" s="15">
        <f>'График транспортирования'!I53</f>
        <v>688500</v>
      </c>
      <c r="M122" s="15">
        <f>'График транспортирования'!J53</f>
        <v>527850</v>
      </c>
      <c r="N122" s="15">
        <f>'График транспортирования'!K53</f>
        <v>527850</v>
      </c>
      <c r="O122" s="15">
        <f>'График транспортирования'!L53</f>
        <v>0</v>
      </c>
      <c r="P122" s="15">
        <f>'График транспортирования'!M53</f>
        <v>91800</v>
      </c>
      <c r="Q122" s="15">
        <f>'График транспортирования'!N53</f>
        <v>68850</v>
      </c>
      <c r="R122" s="15">
        <f>'График транспортирования'!O53</f>
        <v>252450</v>
      </c>
      <c r="S122" s="16">
        <f>R122+Q122+P122+O122+N122+M122+L122+K122+J122+I122+H122+G122</f>
        <v>4658850</v>
      </c>
    </row>
    <row r="123" spans="1:19" ht="12.75">
      <c r="A123" s="160" t="s">
        <v>72</v>
      </c>
      <c r="B123" s="161"/>
      <c r="C123" s="161"/>
      <c r="D123" s="161"/>
      <c r="E123" s="161"/>
      <c r="F123" s="162"/>
      <c r="G123" s="8">
        <f aca="true" t="shared" si="48" ref="G123:R123">G122/1000*404.37/3</f>
        <v>24747.444</v>
      </c>
      <c r="H123" s="8">
        <f t="shared" si="48"/>
        <v>52588.318499999994</v>
      </c>
      <c r="I123" s="8">
        <f t="shared" si="48"/>
        <v>74242.332</v>
      </c>
      <c r="J123" s="8">
        <f t="shared" si="48"/>
        <v>92802.915</v>
      </c>
      <c r="K123" s="8">
        <f t="shared" si="48"/>
        <v>92802.915</v>
      </c>
      <c r="L123" s="8">
        <f t="shared" si="48"/>
        <v>92802.915</v>
      </c>
      <c r="M123" s="8">
        <f t="shared" si="48"/>
        <v>71148.9015</v>
      </c>
      <c r="N123" s="8">
        <f t="shared" si="48"/>
        <v>71148.9015</v>
      </c>
      <c r="O123" s="8">
        <f t="shared" si="48"/>
        <v>0</v>
      </c>
      <c r="P123" s="8">
        <f t="shared" si="48"/>
        <v>12373.722</v>
      </c>
      <c r="Q123" s="8">
        <f t="shared" si="48"/>
        <v>9280.2915</v>
      </c>
      <c r="R123" s="8">
        <f t="shared" si="48"/>
        <v>34027.7355</v>
      </c>
      <c r="S123" s="9">
        <f>R123+Q123+P123+O123+N123+M123+L123+K123+J123+I123+H123+G123</f>
        <v>627966.3915</v>
      </c>
    </row>
    <row r="124" spans="1:19" ht="12.75">
      <c r="A124" s="157" t="s">
        <v>498</v>
      </c>
      <c r="B124" s="158"/>
      <c r="C124" s="158"/>
      <c r="D124" s="158"/>
      <c r="E124" s="158"/>
      <c r="F124" s="159"/>
      <c r="G124" s="9">
        <f aca="true" t="shared" si="49" ref="G124:R124">G123+52377.34</f>
        <v>77124.784</v>
      </c>
      <c r="H124" s="9">
        <f t="shared" si="49"/>
        <v>104965.65849999999</v>
      </c>
      <c r="I124" s="9">
        <f t="shared" si="49"/>
        <v>126619.67199999999</v>
      </c>
      <c r="J124" s="9">
        <f t="shared" si="49"/>
        <v>145180.255</v>
      </c>
      <c r="K124" s="9">
        <f t="shared" si="49"/>
        <v>145180.255</v>
      </c>
      <c r="L124" s="9">
        <f t="shared" si="49"/>
        <v>145180.255</v>
      </c>
      <c r="M124" s="9">
        <f t="shared" si="49"/>
        <v>123526.2415</v>
      </c>
      <c r="N124" s="9">
        <f t="shared" si="49"/>
        <v>123526.2415</v>
      </c>
      <c r="O124" s="9">
        <f t="shared" si="49"/>
        <v>52377.34</v>
      </c>
      <c r="P124" s="9">
        <f t="shared" si="49"/>
        <v>64751.062</v>
      </c>
      <c r="Q124" s="9">
        <f t="shared" si="49"/>
        <v>61657.631499999996</v>
      </c>
      <c r="R124" s="9">
        <f t="shared" si="49"/>
        <v>86405.0755</v>
      </c>
      <c r="S124" s="9">
        <f>R124+Q124+P124+O124+N124+M124+L124+K124+J124+I124+H124+G124</f>
        <v>1256494.4715</v>
      </c>
    </row>
    <row r="125" spans="1:19" ht="12.75">
      <c r="A125" s="160" t="s">
        <v>73</v>
      </c>
      <c r="B125" s="161"/>
      <c r="C125" s="161"/>
      <c r="D125" s="161"/>
      <c r="E125" s="161"/>
      <c r="F125" s="162"/>
      <c r="G125" s="8">
        <f aca="true" t="shared" si="50" ref="G125:R125">G122/1000*318.4/3</f>
        <v>19486.079999999998</v>
      </c>
      <c r="H125" s="8">
        <f t="shared" si="50"/>
        <v>41407.91999999999</v>
      </c>
      <c r="I125" s="8">
        <f t="shared" si="50"/>
        <v>58458.23999999999</v>
      </c>
      <c r="J125" s="8">
        <f t="shared" si="50"/>
        <v>73072.8</v>
      </c>
      <c r="K125" s="8">
        <f t="shared" si="50"/>
        <v>73072.8</v>
      </c>
      <c r="L125" s="8">
        <f t="shared" si="50"/>
        <v>73072.8</v>
      </c>
      <c r="M125" s="8">
        <f t="shared" si="50"/>
        <v>56022.48</v>
      </c>
      <c r="N125" s="8">
        <f t="shared" si="50"/>
        <v>56022.48</v>
      </c>
      <c r="O125" s="8">
        <f t="shared" si="50"/>
        <v>0</v>
      </c>
      <c r="P125" s="8">
        <f t="shared" si="50"/>
        <v>9743.039999999999</v>
      </c>
      <c r="Q125" s="8">
        <f t="shared" si="50"/>
        <v>7307.279999999999</v>
      </c>
      <c r="R125" s="8">
        <f t="shared" si="50"/>
        <v>26793.359999999997</v>
      </c>
      <c r="S125" s="9">
        <f>R125+Q125+P125+O125+N125+M125+L125+K125+J125+I125+H125+G125</f>
        <v>494459.27999999997</v>
      </c>
    </row>
    <row r="126" spans="1:19" ht="12.75">
      <c r="A126" s="157" t="s">
        <v>499</v>
      </c>
      <c r="B126" s="158"/>
      <c r="C126" s="158"/>
      <c r="D126" s="158"/>
      <c r="E126" s="158"/>
      <c r="F126" s="159"/>
      <c r="G126" s="9">
        <f aca="true" t="shared" si="51" ref="G126:R126">G125+41242</f>
        <v>60728.08</v>
      </c>
      <c r="H126" s="9">
        <f t="shared" si="51"/>
        <v>82649.91999999998</v>
      </c>
      <c r="I126" s="9">
        <f t="shared" si="51"/>
        <v>99700.23999999999</v>
      </c>
      <c r="J126" s="9">
        <f t="shared" si="51"/>
        <v>114314.8</v>
      </c>
      <c r="K126" s="9">
        <f t="shared" si="51"/>
        <v>114314.8</v>
      </c>
      <c r="L126" s="9">
        <f t="shared" si="51"/>
        <v>114314.8</v>
      </c>
      <c r="M126" s="9">
        <f t="shared" si="51"/>
        <v>97264.48000000001</v>
      </c>
      <c r="N126" s="9">
        <f t="shared" si="51"/>
        <v>97264.48000000001</v>
      </c>
      <c r="O126" s="9">
        <f t="shared" si="51"/>
        <v>41242</v>
      </c>
      <c r="P126" s="9">
        <f t="shared" si="51"/>
        <v>50985.04</v>
      </c>
      <c r="Q126" s="9">
        <f t="shared" si="51"/>
        <v>48549.28</v>
      </c>
      <c r="R126" s="9">
        <f t="shared" si="51"/>
        <v>68035.36</v>
      </c>
      <c r="S126" s="9">
        <f>R126+Q126+P126+O126+N126+M126+L126+K126+J126+I126+H126+G126</f>
        <v>989363.2799999999</v>
      </c>
    </row>
    <row r="127" spans="1:19" ht="15.75">
      <c r="A127" s="163" t="s">
        <v>79</v>
      </c>
      <c r="B127" s="164"/>
      <c r="C127" s="164"/>
      <c r="D127" s="164"/>
      <c r="E127" s="164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5"/>
    </row>
    <row r="128" spans="1:19" ht="12.75">
      <c r="A128" s="169"/>
      <c r="B128" s="170"/>
      <c r="C128" s="170"/>
      <c r="D128" s="170"/>
      <c r="E128" s="170"/>
      <c r="F128" s="171"/>
      <c r="G128" s="166" t="s">
        <v>26</v>
      </c>
      <c r="H128" s="167"/>
      <c r="I128" s="167"/>
      <c r="J128" s="167"/>
      <c r="K128" s="167"/>
      <c r="L128" s="167"/>
      <c r="M128" s="167"/>
      <c r="N128" s="167"/>
      <c r="O128" s="167"/>
      <c r="P128" s="167"/>
      <c r="Q128" s="167"/>
      <c r="R128" s="168"/>
      <c r="S128" s="143" t="s">
        <v>58</v>
      </c>
    </row>
    <row r="129" spans="1:19" ht="12.75">
      <c r="A129" s="172"/>
      <c r="B129" s="173"/>
      <c r="C129" s="173"/>
      <c r="D129" s="173"/>
      <c r="E129" s="173"/>
      <c r="F129" s="174"/>
      <c r="G129" s="6">
        <v>46631</v>
      </c>
      <c r="H129" s="6">
        <v>46661</v>
      </c>
      <c r="I129" s="6">
        <v>46692</v>
      </c>
      <c r="J129" s="6">
        <v>46722</v>
      </c>
      <c r="K129" s="6">
        <v>46753</v>
      </c>
      <c r="L129" s="6">
        <v>46784</v>
      </c>
      <c r="M129" s="6">
        <v>46813</v>
      </c>
      <c r="N129" s="6">
        <v>46844</v>
      </c>
      <c r="O129" s="6">
        <v>46874</v>
      </c>
      <c r="P129" s="6">
        <v>46905</v>
      </c>
      <c r="Q129" s="6">
        <v>46935</v>
      </c>
      <c r="R129" s="6">
        <v>46966</v>
      </c>
      <c r="S129" s="138"/>
    </row>
    <row r="130" spans="1:19" ht="12.75">
      <c r="A130" s="160" t="s">
        <v>71</v>
      </c>
      <c r="B130" s="161"/>
      <c r="C130" s="161"/>
      <c r="D130" s="161"/>
      <c r="E130" s="161"/>
      <c r="F130" s="162"/>
      <c r="G130" s="15">
        <f>'График транспортирования'!D61</f>
        <v>183600</v>
      </c>
      <c r="H130" s="15">
        <f>'График транспортирования'!E61</f>
        <v>413100</v>
      </c>
      <c r="I130" s="15">
        <f>'График транспортирования'!F61</f>
        <v>527850</v>
      </c>
      <c r="J130" s="15">
        <f>'График транспортирования'!G61</f>
        <v>688500</v>
      </c>
      <c r="K130" s="15">
        <f>'График транспортирования'!H61</f>
        <v>688500</v>
      </c>
      <c r="L130" s="15">
        <f>'График транспортирования'!I61</f>
        <v>688500</v>
      </c>
      <c r="M130" s="15">
        <f>'График транспортирования'!J61</f>
        <v>527850</v>
      </c>
      <c r="N130" s="15">
        <f>'График транспортирования'!K61</f>
        <v>527850</v>
      </c>
      <c r="O130" s="15">
        <f>'График транспортирования'!L61</f>
        <v>0</v>
      </c>
      <c r="P130" s="15">
        <f>'График транспортирования'!M61</f>
        <v>91800</v>
      </c>
      <c r="Q130" s="15">
        <f>'График транспортирования'!N61</f>
        <v>68850</v>
      </c>
      <c r="R130" s="15">
        <f>'График транспортирования'!O61</f>
        <v>252450</v>
      </c>
      <c r="S130" s="16">
        <f>R130+Q130+P130+O130+N130+M130+L130+K130+J130+I130+H130+G130</f>
        <v>4658850</v>
      </c>
    </row>
    <row r="131" spans="1:19" ht="12.75">
      <c r="A131" s="160" t="s">
        <v>72</v>
      </c>
      <c r="B131" s="161"/>
      <c r="C131" s="161"/>
      <c r="D131" s="161"/>
      <c r="E131" s="161"/>
      <c r="F131" s="162"/>
      <c r="G131" s="8">
        <f aca="true" t="shared" si="52" ref="G131:R131">G130/1000*404.37/3</f>
        <v>24747.444</v>
      </c>
      <c r="H131" s="8">
        <f t="shared" si="52"/>
        <v>55681.749</v>
      </c>
      <c r="I131" s="8">
        <f t="shared" si="52"/>
        <v>71148.9015</v>
      </c>
      <c r="J131" s="8">
        <f t="shared" si="52"/>
        <v>92802.915</v>
      </c>
      <c r="K131" s="8">
        <f t="shared" si="52"/>
        <v>92802.915</v>
      </c>
      <c r="L131" s="8">
        <f t="shared" si="52"/>
        <v>92802.915</v>
      </c>
      <c r="M131" s="8">
        <f t="shared" si="52"/>
        <v>71148.9015</v>
      </c>
      <c r="N131" s="8">
        <f t="shared" si="52"/>
        <v>71148.9015</v>
      </c>
      <c r="O131" s="8">
        <f t="shared" si="52"/>
        <v>0</v>
      </c>
      <c r="P131" s="8">
        <f t="shared" si="52"/>
        <v>12373.722</v>
      </c>
      <c r="Q131" s="8">
        <f t="shared" si="52"/>
        <v>9280.2915</v>
      </c>
      <c r="R131" s="8">
        <f t="shared" si="52"/>
        <v>34027.7355</v>
      </c>
      <c r="S131" s="9">
        <f>R131+Q131+P131+O131+N131+M131+L131+K131+J131+I131+H131+G131</f>
        <v>627966.3914999999</v>
      </c>
    </row>
    <row r="132" spans="1:19" ht="12.75">
      <c r="A132" s="157" t="s">
        <v>498</v>
      </c>
      <c r="B132" s="158"/>
      <c r="C132" s="158"/>
      <c r="D132" s="158"/>
      <c r="E132" s="158"/>
      <c r="F132" s="159"/>
      <c r="G132" s="9">
        <f aca="true" t="shared" si="53" ref="G132:R132">G131+52377.34</f>
        <v>77124.784</v>
      </c>
      <c r="H132" s="9">
        <f t="shared" si="53"/>
        <v>108059.089</v>
      </c>
      <c r="I132" s="9">
        <f t="shared" si="53"/>
        <v>123526.2415</v>
      </c>
      <c r="J132" s="9">
        <f t="shared" si="53"/>
        <v>145180.255</v>
      </c>
      <c r="K132" s="9">
        <f t="shared" si="53"/>
        <v>145180.255</v>
      </c>
      <c r="L132" s="9">
        <f t="shared" si="53"/>
        <v>145180.255</v>
      </c>
      <c r="M132" s="9">
        <f t="shared" si="53"/>
        <v>123526.2415</v>
      </c>
      <c r="N132" s="9">
        <f t="shared" si="53"/>
        <v>123526.2415</v>
      </c>
      <c r="O132" s="9">
        <f t="shared" si="53"/>
        <v>52377.34</v>
      </c>
      <c r="P132" s="9">
        <f t="shared" si="53"/>
        <v>64751.062</v>
      </c>
      <c r="Q132" s="9">
        <f t="shared" si="53"/>
        <v>61657.631499999996</v>
      </c>
      <c r="R132" s="9">
        <f t="shared" si="53"/>
        <v>86405.0755</v>
      </c>
      <c r="S132" s="9">
        <f>R132+Q132+P132+O132+N132+M132+L132+K132+J132+I132+H132+G132</f>
        <v>1256494.4715</v>
      </c>
    </row>
    <row r="133" spans="1:19" ht="12.75">
      <c r="A133" s="160" t="s">
        <v>73</v>
      </c>
      <c r="B133" s="161"/>
      <c r="C133" s="161"/>
      <c r="D133" s="161"/>
      <c r="E133" s="161"/>
      <c r="F133" s="162"/>
      <c r="G133" s="8">
        <f aca="true" t="shared" si="54" ref="G133:R133">G130/1000*318.4/3</f>
        <v>19486.079999999998</v>
      </c>
      <c r="H133" s="8">
        <f t="shared" si="54"/>
        <v>43843.68</v>
      </c>
      <c r="I133" s="8">
        <f t="shared" si="54"/>
        <v>56022.48</v>
      </c>
      <c r="J133" s="8">
        <f t="shared" si="54"/>
        <v>73072.8</v>
      </c>
      <c r="K133" s="8">
        <f t="shared" si="54"/>
        <v>73072.8</v>
      </c>
      <c r="L133" s="8">
        <f t="shared" si="54"/>
        <v>73072.8</v>
      </c>
      <c r="M133" s="8">
        <f t="shared" si="54"/>
        <v>56022.48</v>
      </c>
      <c r="N133" s="8">
        <f t="shared" si="54"/>
        <v>56022.48</v>
      </c>
      <c r="O133" s="8">
        <f t="shared" si="54"/>
        <v>0</v>
      </c>
      <c r="P133" s="8">
        <f t="shared" si="54"/>
        <v>9743.039999999999</v>
      </c>
      <c r="Q133" s="8">
        <f t="shared" si="54"/>
        <v>7307.279999999999</v>
      </c>
      <c r="R133" s="8">
        <f t="shared" si="54"/>
        <v>26793.359999999997</v>
      </c>
      <c r="S133" s="9">
        <f>R133+Q133+P133+O133+N133+M133+L133+K133+J133+I133+H133+G133</f>
        <v>494459.27999999997</v>
      </c>
    </row>
    <row r="134" spans="1:19" ht="12.75">
      <c r="A134" s="157" t="s">
        <v>499</v>
      </c>
      <c r="B134" s="158"/>
      <c r="C134" s="158"/>
      <c r="D134" s="158"/>
      <c r="E134" s="158"/>
      <c r="F134" s="159"/>
      <c r="G134" s="9">
        <f aca="true" t="shared" si="55" ref="G134:R134">G133+41242</f>
        <v>60728.08</v>
      </c>
      <c r="H134" s="9">
        <f t="shared" si="55"/>
        <v>85085.68</v>
      </c>
      <c r="I134" s="9">
        <f t="shared" si="55"/>
        <v>97264.48000000001</v>
      </c>
      <c r="J134" s="9">
        <f t="shared" si="55"/>
        <v>114314.8</v>
      </c>
      <c r="K134" s="9">
        <f t="shared" si="55"/>
        <v>114314.8</v>
      </c>
      <c r="L134" s="9">
        <f t="shared" si="55"/>
        <v>114314.8</v>
      </c>
      <c r="M134" s="9">
        <f t="shared" si="55"/>
        <v>97264.48000000001</v>
      </c>
      <c r="N134" s="9">
        <f t="shared" si="55"/>
        <v>97264.48000000001</v>
      </c>
      <c r="O134" s="9">
        <f t="shared" si="55"/>
        <v>41242</v>
      </c>
      <c r="P134" s="9">
        <f t="shared" si="55"/>
        <v>50985.04</v>
      </c>
      <c r="Q134" s="9">
        <f t="shared" si="55"/>
        <v>48549.28</v>
      </c>
      <c r="R134" s="9">
        <f t="shared" si="55"/>
        <v>68035.36</v>
      </c>
      <c r="S134" s="9">
        <f>R134+Q134+P134+O134+N134+M134+L134+K134+J134+I134+H134+G134</f>
        <v>989363.2799999999</v>
      </c>
    </row>
    <row r="135" spans="1:19" ht="15.75">
      <c r="A135" s="163" t="s">
        <v>80</v>
      </c>
      <c r="B135" s="164"/>
      <c r="C135" s="164"/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5"/>
    </row>
    <row r="136" spans="1:19" ht="12.75">
      <c r="A136" s="169"/>
      <c r="B136" s="170"/>
      <c r="C136" s="170"/>
      <c r="D136" s="170"/>
      <c r="E136" s="170"/>
      <c r="F136" s="171"/>
      <c r="G136" s="166" t="s">
        <v>26</v>
      </c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8"/>
      <c r="S136" s="143" t="s">
        <v>58</v>
      </c>
    </row>
    <row r="137" spans="1:19" ht="12.75">
      <c r="A137" s="172"/>
      <c r="B137" s="173"/>
      <c r="C137" s="173"/>
      <c r="D137" s="173"/>
      <c r="E137" s="173"/>
      <c r="F137" s="174"/>
      <c r="G137" s="6">
        <v>46997</v>
      </c>
      <c r="H137" s="6">
        <v>47027</v>
      </c>
      <c r="I137" s="6">
        <v>47058</v>
      </c>
      <c r="J137" s="6">
        <v>47088</v>
      </c>
      <c r="K137" s="6">
        <v>47119</v>
      </c>
      <c r="L137" s="6">
        <v>47150</v>
      </c>
      <c r="M137" s="6">
        <v>47178</v>
      </c>
      <c r="N137" s="6">
        <v>47209</v>
      </c>
      <c r="O137" s="6">
        <v>47239</v>
      </c>
      <c r="P137" s="6">
        <v>47270</v>
      </c>
      <c r="Q137" s="6">
        <v>47300</v>
      </c>
      <c r="R137" s="6">
        <v>47331</v>
      </c>
      <c r="S137" s="138"/>
    </row>
    <row r="138" spans="1:19" ht="12.75">
      <c r="A138" s="160" t="s">
        <v>71</v>
      </c>
      <c r="B138" s="161"/>
      <c r="C138" s="161"/>
      <c r="D138" s="161"/>
      <c r="E138" s="161"/>
      <c r="F138" s="162"/>
      <c r="G138" s="15">
        <f>'График транспортирования'!D69</f>
        <v>183600</v>
      </c>
      <c r="H138" s="15">
        <f>'График транспортирования'!E69</f>
        <v>413100</v>
      </c>
      <c r="I138" s="15">
        <f>'График транспортирования'!F69</f>
        <v>550800</v>
      </c>
      <c r="J138" s="15">
        <f>'График транспортирования'!G69</f>
        <v>688500</v>
      </c>
      <c r="K138" s="15">
        <f>'График транспортирования'!H69</f>
        <v>688500</v>
      </c>
      <c r="L138" s="15">
        <f>'График транспортирования'!I69</f>
        <v>688500</v>
      </c>
      <c r="M138" s="15">
        <f>'График транспортирования'!J69</f>
        <v>504900</v>
      </c>
      <c r="N138" s="15">
        <f>'График транспортирования'!K69</f>
        <v>527850</v>
      </c>
      <c r="O138" s="15">
        <f>'График транспортирования'!L69</f>
        <v>0</v>
      </c>
      <c r="P138" s="15">
        <f>'График транспортирования'!M69</f>
        <v>91800</v>
      </c>
      <c r="Q138" s="15">
        <f>'График транспортирования'!N69</f>
        <v>91800</v>
      </c>
      <c r="R138" s="15">
        <f>'График транспортирования'!O69</f>
        <v>229500</v>
      </c>
      <c r="S138" s="16">
        <f>R138+Q138+P138+O138+N138+M138+L138+K138+J138+I138+H138+G138</f>
        <v>4658850</v>
      </c>
    </row>
    <row r="139" spans="1:19" ht="12.75">
      <c r="A139" s="160" t="s">
        <v>72</v>
      </c>
      <c r="B139" s="161"/>
      <c r="C139" s="161"/>
      <c r="D139" s="161"/>
      <c r="E139" s="161"/>
      <c r="F139" s="162"/>
      <c r="G139" s="8">
        <f aca="true" t="shared" si="56" ref="G139:R139">G138/1000*404.37/3</f>
        <v>24747.444</v>
      </c>
      <c r="H139" s="8">
        <f t="shared" si="56"/>
        <v>55681.749</v>
      </c>
      <c r="I139" s="8">
        <f t="shared" si="56"/>
        <v>74242.332</v>
      </c>
      <c r="J139" s="8">
        <f t="shared" si="56"/>
        <v>92802.915</v>
      </c>
      <c r="K139" s="8">
        <f t="shared" si="56"/>
        <v>92802.915</v>
      </c>
      <c r="L139" s="8">
        <f t="shared" si="56"/>
        <v>92802.915</v>
      </c>
      <c r="M139" s="8">
        <f t="shared" si="56"/>
        <v>68055.471</v>
      </c>
      <c r="N139" s="8">
        <f t="shared" si="56"/>
        <v>71148.9015</v>
      </c>
      <c r="O139" s="8">
        <f t="shared" si="56"/>
        <v>0</v>
      </c>
      <c r="P139" s="8">
        <f t="shared" si="56"/>
        <v>12373.722</v>
      </c>
      <c r="Q139" s="8">
        <f t="shared" si="56"/>
        <v>12373.722</v>
      </c>
      <c r="R139" s="8">
        <f t="shared" si="56"/>
        <v>30934.305000000004</v>
      </c>
      <c r="S139" s="9">
        <f>R139+Q139+P139+O139+N139+M139+L139+K139+J139+I139+H139+G139</f>
        <v>627966.3914999999</v>
      </c>
    </row>
    <row r="140" spans="1:19" ht="12.75">
      <c r="A140" s="157" t="s">
        <v>498</v>
      </c>
      <c r="B140" s="158"/>
      <c r="C140" s="158"/>
      <c r="D140" s="158"/>
      <c r="E140" s="158"/>
      <c r="F140" s="159"/>
      <c r="G140" s="9">
        <f aca="true" t="shared" si="57" ref="G140:R140">G139+52377.34</f>
        <v>77124.784</v>
      </c>
      <c r="H140" s="9">
        <f t="shared" si="57"/>
        <v>108059.089</v>
      </c>
      <c r="I140" s="9">
        <f t="shared" si="57"/>
        <v>126619.67199999999</v>
      </c>
      <c r="J140" s="9">
        <f t="shared" si="57"/>
        <v>145180.255</v>
      </c>
      <c r="K140" s="9">
        <f t="shared" si="57"/>
        <v>145180.255</v>
      </c>
      <c r="L140" s="9">
        <f t="shared" si="57"/>
        <v>145180.255</v>
      </c>
      <c r="M140" s="9">
        <f t="shared" si="57"/>
        <v>120432.811</v>
      </c>
      <c r="N140" s="9">
        <f t="shared" si="57"/>
        <v>123526.2415</v>
      </c>
      <c r="O140" s="9">
        <f t="shared" si="57"/>
        <v>52377.34</v>
      </c>
      <c r="P140" s="9">
        <f t="shared" si="57"/>
        <v>64751.062</v>
      </c>
      <c r="Q140" s="9">
        <f t="shared" si="57"/>
        <v>64751.062</v>
      </c>
      <c r="R140" s="9">
        <f t="shared" si="57"/>
        <v>83311.645</v>
      </c>
      <c r="S140" s="9">
        <f>R140+Q140+P140+O140+N140+M140+L140+K140+J140+I140+H140+G140</f>
        <v>1256494.4715</v>
      </c>
    </row>
    <row r="141" spans="1:19" ht="12.75">
      <c r="A141" s="160" t="s">
        <v>73</v>
      </c>
      <c r="B141" s="161"/>
      <c r="C141" s="161"/>
      <c r="D141" s="161"/>
      <c r="E141" s="161"/>
      <c r="F141" s="162"/>
      <c r="G141" s="8">
        <f aca="true" t="shared" si="58" ref="G141:R141">G138/1000*318.4/3</f>
        <v>19486.079999999998</v>
      </c>
      <c r="H141" s="8">
        <f t="shared" si="58"/>
        <v>43843.68</v>
      </c>
      <c r="I141" s="8">
        <f t="shared" si="58"/>
        <v>58458.23999999999</v>
      </c>
      <c r="J141" s="8">
        <f t="shared" si="58"/>
        <v>73072.8</v>
      </c>
      <c r="K141" s="8">
        <f t="shared" si="58"/>
        <v>73072.8</v>
      </c>
      <c r="L141" s="8">
        <f t="shared" si="58"/>
        <v>73072.8</v>
      </c>
      <c r="M141" s="8">
        <f t="shared" si="58"/>
        <v>53586.719999999994</v>
      </c>
      <c r="N141" s="8">
        <f t="shared" si="58"/>
        <v>56022.48</v>
      </c>
      <c r="O141" s="8">
        <f t="shared" si="58"/>
        <v>0</v>
      </c>
      <c r="P141" s="8">
        <f t="shared" si="58"/>
        <v>9743.039999999999</v>
      </c>
      <c r="Q141" s="8">
        <f t="shared" si="58"/>
        <v>9743.039999999999</v>
      </c>
      <c r="R141" s="8">
        <f t="shared" si="58"/>
        <v>24357.599999999995</v>
      </c>
      <c r="S141" s="9">
        <f>R141+Q141+P141+O141+N141+M141+L141+K141+J141+I141+H141+G141</f>
        <v>494459.27999999997</v>
      </c>
    </row>
    <row r="142" spans="1:19" ht="12.75">
      <c r="A142" s="157" t="s">
        <v>499</v>
      </c>
      <c r="B142" s="158"/>
      <c r="C142" s="158"/>
      <c r="D142" s="158"/>
      <c r="E142" s="158"/>
      <c r="F142" s="159"/>
      <c r="G142" s="9">
        <f aca="true" t="shared" si="59" ref="G142:R142">G141+41242</f>
        <v>60728.08</v>
      </c>
      <c r="H142" s="9">
        <f t="shared" si="59"/>
        <v>85085.68</v>
      </c>
      <c r="I142" s="9">
        <f t="shared" si="59"/>
        <v>99700.23999999999</v>
      </c>
      <c r="J142" s="9">
        <f t="shared" si="59"/>
        <v>114314.8</v>
      </c>
      <c r="K142" s="9">
        <f t="shared" si="59"/>
        <v>114314.8</v>
      </c>
      <c r="L142" s="9">
        <f t="shared" si="59"/>
        <v>114314.8</v>
      </c>
      <c r="M142" s="9">
        <f t="shared" si="59"/>
        <v>94828.72</v>
      </c>
      <c r="N142" s="9">
        <f t="shared" si="59"/>
        <v>97264.48000000001</v>
      </c>
      <c r="O142" s="9">
        <f t="shared" si="59"/>
        <v>41242</v>
      </c>
      <c r="P142" s="9">
        <f t="shared" si="59"/>
        <v>50985.04</v>
      </c>
      <c r="Q142" s="9">
        <f t="shared" si="59"/>
        <v>50985.04</v>
      </c>
      <c r="R142" s="9">
        <f t="shared" si="59"/>
        <v>65599.59999999999</v>
      </c>
      <c r="S142" s="9">
        <f>R142+Q142+P142+O142+N142+M142+L142+K142+J142+I142+H142+G142</f>
        <v>989363.2799999999</v>
      </c>
    </row>
    <row r="143" spans="1:19" ht="15.75">
      <c r="A143" s="163" t="s">
        <v>81</v>
      </c>
      <c r="B143" s="164"/>
      <c r="C143" s="164"/>
      <c r="D143" s="164"/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5"/>
    </row>
    <row r="144" spans="1:19" ht="12.75">
      <c r="A144" s="169"/>
      <c r="B144" s="170"/>
      <c r="C144" s="170"/>
      <c r="D144" s="170"/>
      <c r="E144" s="170"/>
      <c r="F144" s="171"/>
      <c r="G144" s="166" t="s">
        <v>26</v>
      </c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8"/>
      <c r="S144" s="143" t="s">
        <v>58</v>
      </c>
    </row>
    <row r="145" spans="1:19" ht="12.75">
      <c r="A145" s="172"/>
      <c r="B145" s="173"/>
      <c r="C145" s="173"/>
      <c r="D145" s="173"/>
      <c r="E145" s="173"/>
      <c r="F145" s="174"/>
      <c r="G145" s="6">
        <v>47362</v>
      </c>
      <c r="H145" s="6">
        <v>47392</v>
      </c>
      <c r="I145" s="6">
        <v>47423</v>
      </c>
      <c r="J145" s="6">
        <v>47453</v>
      </c>
      <c r="K145" s="6">
        <v>47484</v>
      </c>
      <c r="L145" s="6">
        <v>47515</v>
      </c>
      <c r="M145" s="6">
        <v>47543</v>
      </c>
      <c r="N145" s="6">
        <v>47574</v>
      </c>
      <c r="O145" s="6">
        <v>47604</v>
      </c>
      <c r="P145" s="6">
        <v>47635</v>
      </c>
      <c r="Q145" s="6">
        <v>47665</v>
      </c>
      <c r="R145" s="6">
        <v>47696</v>
      </c>
      <c r="S145" s="138"/>
    </row>
    <row r="146" spans="1:19" ht="12.75">
      <c r="A146" s="160" t="s">
        <v>71</v>
      </c>
      <c r="B146" s="161"/>
      <c r="C146" s="161"/>
      <c r="D146" s="161"/>
      <c r="E146" s="161"/>
      <c r="F146" s="162"/>
      <c r="G146" s="15">
        <f>'График транспортирования'!D77</f>
        <v>183600</v>
      </c>
      <c r="H146" s="15">
        <f>'График транспортирования'!E77</f>
        <v>413100</v>
      </c>
      <c r="I146" s="15">
        <f>'График транспортирования'!F77</f>
        <v>550800</v>
      </c>
      <c r="J146" s="15">
        <f>'График транспортирования'!G77</f>
        <v>688500</v>
      </c>
      <c r="K146" s="15">
        <f>'График транспортирования'!H77</f>
        <v>688500</v>
      </c>
      <c r="L146" s="15">
        <f>'График транспортирования'!I77</f>
        <v>688500</v>
      </c>
      <c r="M146" s="15">
        <f>'График транспортирования'!J77</f>
        <v>504900</v>
      </c>
      <c r="N146" s="15">
        <f>'График транспортирования'!K77</f>
        <v>527850</v>
      </c>
      <c r="O146" s="15">
        <f>'График транспортирования'!L77</f>
        <v>0</v>
      </c>
      <c r="P146" s="15">
        <f>'График транспортирования'!M77</f>
        <v>91800</v>
      </c>
      <c r="Q146" s="15">
        <f>'График транспортирования'!N77</f>
        <v>91800</v>
      </c>
      <c r="R146" s="15">
        <f>'График транспортирования'!O77</f>
        <v>252450</v>
      </c>
      <c r="S146" s="16">
        <f>R146+Q146+P146+O146+N146+M146+L146+K146+J146+I146+H146+G146</f>
        <v>4681800</v>
      </c>
    </row>
    <row r="147" spans="1:19" ht="12.75">
      <c r="A147" s="160" t="s">
        <v>72</v>
      </c>
      <c r="B147" s="161"/>
      <c r="C147" s="161"/>
      <c r="D147" s="161"/>
      <c r="E147" s="161"/>
      <c r="F147" s="162"/>
      <c r="G147" s="8">
        <f aca="true" t="shared" si="60" ref="G147:R147">G146/1000*404.37/3</f>
        <v>24747.444</v>
      </c>
      <c r="H147" s="8">
        <f t="shared" si="60"/>
        <v>55681.749</v>
      </c>
      <c r="I147" s="8">
        <f t="shared" si="60"/>
        <v>74242.332</v>
      </c>
      <c r="J147" s="8">
        <f t="shared" si="60"/>
        <v>92802.915</v>
      </c>
      <c r="K147" s="8">
        <f t="shared" si="60"/>
        <v>92802.915</v>
      </c>
      <c r="L147" s="8">
        <f t="shared" si="60"/>
        <v>92802.915</v>
      </c>
      <c r="M147" s="8">
        <f t="shared" si="60"/>
        <v>68055.471</v>
      </c>
      <c r="N147" s="8">
        <f t="shared" si="60"/>
        <v>71148.9015</v>
      </c>
      <c r="O147" s="8">
        <f t="shared" si="60"/>
        <v>0</v>
      </c>
      <c r="P147" s="8">
        <f t="shared" si="60"/>
        <v>12373.722</v>
      </c>
      <c r="Q147" s="8">
        <f t="shared" si="60"/>
        <v>12373.722</v>
      </c>
      <c r="R147" s="8">
        <f t="shared" si="60"/>
        <v>34027.7355</v>
      </c>
      <c r="S147" s="9">
        <f>R147+Q147+P147+O147+N147+M147+L147+K147+J147+I147+H147+G147</f>
        <v>631059.8219999999</v>
      </c>
    </row>
    <row r="148" spans="1:19" ht="12.75">
      <c r="A148" s="157" t="s">
        <v>498</v>
      </c>
      <c r="B148" s="158"/>
      <c r="C148" s="158"/>
      <c r="D148" s="158"/>
      <c r="E148" s="158"/>
      <c r="F148" s="159"/>
      <c r="G148" s="9">
        <f aca="true" t="shared" si="61" ref="G148:R148">G147+52377.34</f>
        <v>77124.784</v>
      </c>
      <c r="H148" s="9">
        <f t="shared" si="61"/>
        <v>108059.089</v>
      </c>
      <c r="I148" s="9">
        <f t="shared" si="61"/>
        <v>126619.67199999999</v>
      </c>
      <c r="J148" s="9">
        <f t="shared" si="61"/>
        <v>145180.255</v>
      </c>
      <c r="K148" s="9">
        <f t="shared" si="61"/>
        <v>145180.255</v>
      </c>
      <c r="L148" s="9">
        <f t="shared" si="61"/>
        <v>145180.255</v>
      </c>
      <c r="M148" s="9">
        <f t="shared" si="61"/>
        <v>120432.811</v>
      </c>
      <c r="N148" s="9">
        <f t="shared" si="61"/>
        <v>123526.2415</v>
      </c>
      <c r="O148" s="9">
        <f t="shared" si="61"/>
        <v>52377.34</v>
      </c>
      <c r="P148" s="9">
        <f t="shared" si="61"/>
        <v>64751.062</v>
      </c>
      <c r="Q148" s="9">
        <f t="shared" si="61"/>
        <v>64751.062</v>
      </c>
      <c r="R148" s="9">
        <f t="shared" si="61"/>
        <v>86405.0755</v>
      </c>
      <c r="S148" s="9">
        <f>R148+Q148+P148+O148+N148+M148+L148+K148+J148+I148+H148+G148</f>
        <v>1259587.902</v>
      </c>
    </row>
    <row r="149" spans="1:19" ht="12.75">
      <c r="A149" s="160" t="s">
        <v>73</v>
      </c>
      <c r="B149" s="161"/>
      <c r="C149" s="161"/>
      <c r="D149" s="161"/>
      <c r="E149" s="161"/>
      <c r="F149" s="162"/>
      <c r="G149" s="8">
        <f aca="true" t="shared" si="62" ref="G149:R149">G146/1000*318.4/3</f>
        <v>19486.079999999998</v>
      </c>
      <c r="H149" s="8">
        <f t="shared" si="62"/>
        <v>43843.68</v>
      </c>
      <c r="I149" s="8">
        <f t="shared" si="62"/>
        <v>58458.23999999999</v>
      </c>
      <c r="J149" s="8">
        <f t="shared" si="62"/>
        <v>73072.8</v>
      </c>
      <c r="K149" s="8">
        <f t="shared" si="62"/>
        <v>73072.8</v>
      </c>
      <c r="L149" s="8">
        <f t="shared" si="62"/>
        <v>73072.8</v>
      </c>
      <c r="M149" s="8">
        <f t="shared" si="62"/>
        <v>53586.719999999994</v>
      </c>
      <c r="N149" s="8">
        <f t="shared" si="62"/>
        <v>56022.48</v>
      </c>
      <c r="O149" s="8">
        <f t="shared" si="62"/>
        <v>0</v>
      </c>
      <c r="P149" s="8">
        <f t="shared" si="62"/>
        <v>9743.039999999999</v>
      </c>
      <c r="Q149" s="8">
        <f t="shared" si="62"/>
        <v>9743.039999999999</v>
      </c>
      <c r="R149" s="8">
        <f t="shared" si="62"/>
        <v>26793.359999999997</v>
      </c>
      <c r="S149" s="9">
        <f>R149+Q149+P149+O149+N149+M149+L149+K149+J149+I149+H149+G149</f>
        <v>496895.04</v>
      </c>
    </row>
    <row r="150" spans="1:19" ht="12.75">
      <c r="A150" s="157" t="s">
        <v>499</v>
      </c>
      <c r="B150" s="158"/>
      <c r="C150" s="158"/>
      <c r="D150" s="158"/>
      <c r="E150" s="158"/>
      <c r="F150" s="159"/>
      <c r="G150" s="9">
        <f aca="true" t="shared" si="63" ref="G150:R150">G149+41242</f>
        <v>60728.08</v>
      </c>
      <c r="H150" s="9">
        <f t="shared" si="63"/>
        <v>85085.68</v>
      </c>
      <c r="I150" s="9">
        <f t="shared" si="63"/>
        <v>99700.23999999999</v>
      </c>
      <c r="J150" s="9">
        <f t="shared" si="63"/>
        <v>114314.8</v>
      </c>
      <c r="K150" s="9">
        <f t="shared" si="63"/>
        <v>114314.8</v>
      </c>
      <c r="L150" s="9">
        <f t="shared" si="63"/>
        <v>114314.8</v>
      </c>
      <c r="M150" s="9">
        <f t="shared" si="63"/>
        <v>94828.72</v>
      </c>
      <c r="N150" s="9">
        <f t="shared" si="63"/>
        <v>97264.48000000001</v>
      </c>
      <c r="O150" s="9">
        <f t="shared" si="63"/>
        <v>41242</v>
      </c>
      <c r="P150" s="9">
        <f t="shared" si="63"/>
        <v>50985.04</v>
      </c>
      <c r="Q150" s="9">
        <f t="shared" si="63"/>
        <v>50985.04</v>
      </c>
      <c r="R150" s="9">
        <f t="shared" si="63"/>
        <v>68035.36</v>
      </c>
      <c r="S150" s="9">
        <f>R150+Q150+P150+O150+N150+M150+L150+K150+J150+I150+H150+G150</f>
        <v>991799.0399999999</v>
      </c>
    </row>
    <row r="151" spans="1:19" ht="15.75">
      <c r="A151" s="163" t="s">
        <v>82</v>
      </c>
      <c r="B151" s="164"/>
      <c r="C151" s="164"/>
      <c r="D151" s="164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5"/>
    </row>
    <row r="152" spans="1:19" ht="12.75">
      <c r="A152" s="169"/>
      <c r="B152" s="170"/>
      <c r="C152" s="170"/>
      <c r="D152" s="170"/>
      <c r="E152" s="170"/>
      <c r="F152" s="171"/>
      <c r="G152" s="166" t="s">
        <v>26</v>
      </c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8"/>
      <c r="S152" s="143" t="s">
        <v>58</v>
      </c>
    </row>
    <row r="153" spans="1:19" ht="12.75">
      <c r="A153" s="172"/>
      <c r="B153" s="173"/>
      <c r="C153" s="173"/>
      <c r="D153" s="173"/>
      <c r="E153" s="173"/>
      <c r="F153" s="174"/>
      <c r="G153" s="6">
        <v>47727</v>
      </c>
      <c r="H153" s="6">
        <v>47757</v>
      </c>
      <c r="I153" s="6">
        <v>47788</v>
      </c>
      <c r="J153" s="6">
        <v>47818</v>
      </c>
      <c r="K153" s="6">
        <v>47849</v>
      </c>
      <c r="L153" s="6">
        <v>47880</v>
      </c>
      <c r="M153" s="6">
        <v>47908</v>
      </c>
      <c r="N153" s="6">
        <v>47939</v>
      </c>
      <c r="O153" s="6">
        <v>47969</v>
      </c>
      <c r="P153" s="6">
        <v>48000</v>
      </c>
      <c r="Q153" s="6">
        <v>48030</v>
      </c>
      <c r="R153" s="6">
        <v>48061</v>
      </c>
      <c r="S153" s="138"/>
    </row>
    <row r="154" spans="1:19" ht="12.75">
      <c r="A154" s="160" t="s">
        <v>71</v>
      </c>
      <c r="B154" s="161"/>
      <c r="C154" s="161"/>
      <c r="D154" s="161"/>
      <c r="E154" s="161"/>
      <c r="F154" s="162"/>
      <c r="G154" s="15">
        <f>'График транспортирования'!D85</f>
        <v>160650</v>
      </c>
      <c r="H154" s="15">
        <f>'График транспортирования'!E85</f>
        <v>413100</v>
      </c>
      <c r="I154" s="15">
        <f>'График транспортирования'!F85</f>
        <v>550800</v>
      </c>
      <c r="J154" s="15">
        <f>'График транспортирования'!G85</f>
        <v>688500</v>
      </c>
      <c r="K154" s="15">
        <f>'График транспортирования'!H85</f>
        <v>688500</v>
      </c>
      <c r="L154" s="15">
        <f>'График транспортирования'!I85</f>
        <v>688500</v>
      </c>
      <c r="M154" s="15">
        <f>'График транспортирования'!J85</f>
        <v>527850</v>
      </c>
      <c r="N154" s="15">
        <f>'График транспортирования'!K85</f>
        <v>527850</v>
      </c>
      <c r="O154" s="15">
        <f>'График транспортирования'!L85</f>
        <v>0</v>
      </c>
      <c r="P154" s="15">
        <f>'График транспортирования'!M85</f>
        <v>68850</v>
      </c>
      <c r="Q154" s="15">
        <f>'График транспортирования'!N85</f>
        <v>91800</v>
      </c>
      <c r="R154" s="15">
        <f>'График транспортирования'!O85</f>
        <v>252450</v>
      </c>
      <c r="S154" s="16">
        <f>R154+Q154+P154+O154+N154+M154+L154+K154+J154+I154+H154+G154</f>
        <v>4658850</v>
      </c>
    </row>
    <row r="155" spans="1:19" ht="12.75">
      <c r="A155" s="160" t="s">
        <v>72</v>
      </c>
      <c r="B155" s="161"/>
      <c r="C155" s="161"/>
      <c r="D155" s="161"/>
      <c r="E155" s="161"/>
      <c r="F155" s="162"/>
      <c r="G155" s="8">
        <f aca="true" t="shared" si="64" ref="G155:R155">G154/1000*404.37/3</f>
        <v>21654.0135</v>
      </c>
      <c r="H155" s="8">
        <f t="shared" si="64"/>
        <v>55681.749</v>
      </c>
      <c r="I155" s="8">
        <f t="shared" si="64"/>
        <v>74242.332</v>
      </c>
      <c r="J155" s="8">
        <f t="shared" si="64"/>
        <v>92802.915</v>
      </c>
      <c r="K155" s="8">
        <f t="shared" si="64"/>
        <v>92802.915</v>
      </c>
      <c r="L155" s="8">
        <f t="shared" si="64"/>
        <v>92802.915</v>
      </c>
      <c r="M155" s="8">
        <f t="shared" si="64"/>
        <v>71148.9015</v>
      </c>
      <c r="N155" s="8">
        <f t="shared" si="64"/>
        <v>71148.9015</v>
      </c>
      <c r="O155" s="8">
        <f t="shared" si="64"/>
        <v>0</v>
      </c>
      <c r="P155" s="8">
        <f t="shared" si="64"/>
        <v>9280.2915</v>
      </c>
      <c r="Q155" s="8">
        <f t="shared" si="64"/>
        <v>12373.722</v>
      </c>
      <c r="R155" s="8">
        <f t="shared" si="64"/>
        <v>34027.7355</v>
      </c>
      <c r="S155" s="9">
        <f>R155+Q155+P155+O155+N155+M155+L155+K155+J155+I155+H155+G155</f>
        <v>627966.3914999999</v>
      </c>
    </row>
    <row r="156" spans="1:19" ht="12.75">
      <c r="A156" s="157" t="s">
        <v>498</v>
      </c>
      <c r="B156" s="158"/>
      <c r="C156" s="158"/>
      <c r="D156" s="158"/>
      <c r="E156" s="158"/>
      <c r="F156" s="159"/>
      <c r="G156" s="9">
        <f aca="true" t="shared" si="65" ref="G156:R156">G155+52377.34</f>
        <v>74031.3535</v>
      </c>
      <c r="H156" s="9">
        <f t="shared" si="65"/>
        <v>108059.089</v>
      </c>
      <c r="I156" s="9">
        <f t="shared" si="65"/>
        <v>126619.67199999999</v>
      </c>
      <c r="J156" s="9">
        <f t="shared" si="65"/>
        <v>145180.255</v>
      </c>
      <c r="K156" s="9">
        <f t="shared" si="65"/>
        <v>145180.255</v>
      </c>
      <c r="L156" s="9">
        <f t="shared" si="65"/>
        <v>145180.255</v>
      </c>
      <c r="M156" s="9">
        <f t="shared" si="65"/>
        <v>123526.2415</v>
      </c>
      <c r="N156" s="9">
        <f t="shared" si="65"/>
        <v>123526.2415</v>
      </c>
      <c r="O156" s="9">
        <f t="shared" si="65"/>
        <v>52377.34</v>
      </c>
      <c r="P156" s="9">
        <f t="shared" si="65"/>
        <v>61657.631499999996</v>
      </c>
      <c r="Q156" s="9">
        <f t="shared" si="65"/>
        <v>64751.062</v>
      </c>
      <c r="R156" s="9">
        <f t="shared" si="65"/>
        <v>86405.0755</v>
      </c>
      <c r="S156" s="9">
        <f>R156+Q156+P156+O156+N156+M156+L156+K156+J156+I156+H156+G156</f>
        <v>1256494.4715</v>
      </c>
    </row>
    <row r="157" spans="1:19" ht="12.75">
      <c r="A157" s="160" t="s">
        <v>73</v>
      </c>
      <c r="B157" s="161"/>
      <c r="C157" s="161"/>
      <c r="D157" s="161"/>
      <c r="E157" s="161"/>
      <c r="F157" s="162"/>
      <c r="G157" s="8">
        <f aca="true" t="shared" si="66" ref="G157:R157">G154/1000*318.4/3</f>
        <v>17050.32</v>
      </c>
      <c r="H157" s="8">
        <f t="shared" si="66"/>
        <v>43843.68</v>
      </c>
      <c r="I157" s="8">
        <f t="shared" si="66"/>
        <v>58458.23999999999</v>
      </c>
      <c r="J157" s="8">
        <f t="shared" si="66"/>
        <v>73072.8</v>
      </c>
      <c r="K157" s="8">
        <f t="shared" si="66"/>
        <v>73072.8</v>
      </c>
      <c r="L157" s="8">
        <f t="shared" si="66"/>
        <v>73072.8</v>
      </c>
      <c r="M157" s="8">
        <f t="shared" si="66"/>
        <v>56022.48</v>
      </c>
      <c r="N157" s="8">
        <f t="shared" si="66"/>
        <v>56022.48</v>
      </c>
      <c r="O157" s="8">
        <f t="shared" si="66"/>
        <v>0</v>
      </c>
      <c r="P157" s="8">
        <f t="shared" si="66"/>
        <v>7307.279999999999</v>
      </c>
      <c r="Q157" s="8">
        <f t="shared" si="66"/>
        <v>9743.039999999999</v>
      </c>
      <c r="R157" s="8">
        <f t="shared" si="66"/>
        <v>26793.359999999997</v>
      </c>
      <c r="S157" s="9">
        <f>R157+Q157+P157+O157+N157+M157+L157+K157+J157+I157+H157+G157</f>
        <v>494459.27999999997</v>
      </c>
    </row>
    <row r="158" spans="1:19" ht="12.75">
      <c r="A158" s="157" t="s">
        <v>499</v>
      </c>
      <c r="B158" s="158"/>
      <c r="C158" s="158"/>
      <c r="D158" s="158"/>
      <c r="E158" s="158"/>
      <c r="F158" s="159"/>
      <c r="G158" s="9">
        <f aca="true" t="shared" si="67" ref="G158:R158">G157+41242</f>
        <v>58292.32</v>
      </c>
      <c r="H158" s="9">
        <f t="shared" si="67"/>
        <v>85085.68</v>
      </c>
      <c r="I158" s="9">
        <f t="shared" si="67"/>
        <v>99700.23999999999</v>
      </c>
      <c r="J158" s="9">
        <f t="shared" si="67"/>
        <v>114314.8</v>
      </c>
      <c r="K158" s="9">
        <f t="shared" si="67"/>
        <v>114314.8</v>
      </c>
      <c r="L158" s="9">
        <f t="shared" si="67"/>
        <v>114314.8</v>
      </c>
      <c r="M158" s="9">
        <f t="shared" si="67"/>
        <v>97264.48000000001</v>
      </c>
      <c r="N158" s="9">
        <f t="shared" si="67"/>
        <v>97264.48000000001</v>
      </c>
      <c r="O158" s="9">
        <f t="shared" si="67"/>
        <v>41242</v>
      </c>
      <c r="P158" s="9">
        <f t="shared" si="67"/>
        <v>48549.28</v>
      </c>
      <c r="Q158" s="9">
        <f t="shared" si="67"/>
        <v>50985.04</v>
      </c>
      <c r="R158" s="9">
        <f t="shared" si="67"/>
        <v>68035.36</v>
      </c>
      <c r="S158" s="9">
        <f>R158+Q158+P158+O158+N158+M158+L158+K158+J158+I158+H158+G158</f>
        <v>989363.2799999999</v>
      </c>
    </row>
    <row r="159" spans="1:19" ht="15.75">
      <c r="A159" s="163" t="s">
        <v>83</v>
      </c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5"/>
    </row>
    <row r="160" spans="1:19" ht="12.75">
      <c r="A160" s="169"/>
      <c r="B160" s="170"/>
      <c r="C160" s="170"/>
      <c r="D160" s="170"/>
      <c r="E160" s="170"/>
      <c r="F160" s="171"/>
      <c r="G160" s="166" t="s">
        <v>26</v>
      </c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8"/>
      <c r="S160" s="143" t="s">
        <v>58</v>
      </c>
    </row>
    <row r="161" spans="1:19" ht="12.75">
      <c r="A161" s="172"/>
      <c r="B161" s="173"/>
      <c r="C161" s="173"/>
      <c r="D161" s="173"/>
      <c r="E161" s="173"/>
      <c r="F161" s="174"/>
      <c r="G161" s="6">
        <v>48092</v>
      </c>
      <c r="H161" s="6">
        <v>48122</v>
      </c>
      <c r="I161" s="6">
        <v>48153</v>
      </c>
      <c r="J161" s="6">
        <v>48183</v>
      </c>
      <c r="K161" s="6">
        <v>48214</v>
      </c>
      <c r="L161" s="6">
        <v>48245</v>
      </c>
      <c r="M161" s="6">
        <v>48274</v>
      </c>
      <c r="N161" s="6">
        <v>48305</v>
      </c>
      <c r="O161" s="6">
        <v>48335</v>
      </c>
      <c r="P161" s="6">
        <v>48366</v>
      </c>
      <c r="Q161" s="6">
        <v>48396</v>
      </c>
      <c r="R161" s="6">
        <v>48427</v>
      </c>
      <c r="S161" s="138"/>
    </row>
    <row r="162" spans="1:19" ht="12.75">
      <c r="A162" s="160" t="s">
        <v>71</v>
      </c>
      <c r="B162" s="161"/>
      <c r="C162" s="161"/>
      <c r="D162" s="161"/>
      <c r="E162" s="161"/>
      <c r="F162" s="162"/>
      <c r="G162" s="15">
        <f>'График транспортирования'!D93</f>
        <v>160650</v>
      </c>
      <c r="H162" s="15">
        <f>'График транспортирования'!E93</f>
        <v>413100</v>
      </c>
      <c r="I162" s="15">
        <f>'График транспортирования'!F93</f>
        <v>550800</v>
      </c>
      <c r="J162" s="15">
        <f>'График транспортирования'!G93</f>
        <v>688500</v>
      </c>
      <c r="K162" s="15">
        <f>'График транспортирования'!H93</f>
        <v>688500</v>
      </c>
      <c r="L162" s="15">
        <f>'График транспортирования'!I93</f>
        <v>688500</v>
      </c>
      <c r="M162" s="15">
        <f>'График транспортирования'!J93</f>
        <v>527850</v>
      </c>
      <c r="N162" s="15">
        <f>'График транспортирования'!K93</f>
        <v>527850</v>
      </c>
      <c r="O162" s="15">
        <f>'График транспортирования'!L93</f>
        <v>0</v>
      </c>
      <c r="P162" s="15">
        <f>'График транспортирования'!M93</f>
        <v>68850</v>
      </c>
      <c r="Q162" s="15">
        <f>'График транспортирования'!N93</f>
        <v>91800</v>
      </c>
      <c r="R162" s="15">
        <f>'График транспортирования'!O93</f>
        <v>252450</v>
      </c>
      <c r="S162" s="16">
        <f>R162+Q162+P162+O162+N162+M162+L162+K162+J162+I162+H162+G162</f>
        <v>4658850</v>
      </c>
    </row>
    <row r="163" spans="1:19" ht="12.75">
      <c r="A163" s="160" t="s">
        <v>72</v>
      </c>
      <c r="B163" s="161"/>
      <c r="C163" s="161"/>
      <c r="D163" s="161"/>
      <c r="E163" s="161"/>
      <c r="F163" s="162"/>
      <c r="G163" s="8">
        <f aca="true" t="shared" si="68" ref="G163:R163">G162/1000*404.37/3</f>
        <v>21654.0135</v>
      </c>
      <c r="H163" s="8">
        <f t="shared" si="68"/>
        <v>55681.749</v>
      </c>
      <c r="I163" s="8">
        <f t="shared" si="68"/>
        <v>74242.332</v>
      </c>
      <c r="J163" s="8">
        <f t="shared" si="68"/>
        <v>92802.915</v>
      </c>
      <c r="K163" s="8">
        <f t="shared" si="68"/>
        <v>92802.915</v>
      </c>
      <c r="L163" s="8">
        <f t="shared" si="68"/>
        <v>92802.915</v>
      </c>
      <c r="M163" s="8">
        <f t="shared" si="68"/>
        <v>71148.9015</v>
      </c>
      <c r="N163" s="8">
        <f t="shared" si="68"/>
        <v>71148.9015</v>
      </c>
      <c r="O163" s="8">
        <f t="shared" si="68"/>
        <v>0</v>
      </c>
      <c r="P163" s="8">
        <f t="shared" si="68"/>
        <v>9280.2915</v>
      </c>
      <c r="Q163" s="8">
        <f t="shared" si="68"/>
        <v>12373.722</v>
      </c>
      <c r="R163" s="8">
        <f t="shared" si="68"/>
        <v>34027.7355</v>
      </c>
      <c r="S163" s="9">
        <f>R163+Q163+P163+O163+N163+M163+L163+K163+J163+I163+H163+G163</f>
        <v>627966.3914999999</v>
      </c>
    </row>
    <row r="164" spans="1:19" ht="12.75">
      <c r="A164" s="157" t="s">
        <v>498</v>
      </c>
      <c r="B164" s="158"/>
      <c r="C164" s="158"/>
      <c r="D164" s="158"/>
      <c r="E164" s="158"/>
      <c r="F164" s="159"/>
      <c r="G164" s="9">
        <f aca="true" t="shared" si="69" ref="G164:R164">G163+52377.34</f>
        <v>74031.3535</v>
      </c>
      <c r="H164" s="9">
        <f t="shared" si="69"/>
        <v>108059.089</v>
      </c>
      <c r="I164" s="9">
        <f t="shared" si="69"/>
        <v>126619.67199999999</v>
      </c>
      <c r="J164" s="9">
        <f t="shared" si="69"/>
        <v>145180.255</v>
      </c>
      <c r="K164" s="9">
        <f t="shared" si="69"/>
        <v>145180.255</v>
      </c>
      <c r="L164" s="9">
        <f t="shared" si="69"/>
        <v>145180.255</v>
      </c>
      <c r="M164" s="9">
        <f t="shared" si="69"/>
        <v>123526.2415</v>
      </c>
      <c r="N164" s="9">
        <f t="shared" si="69"/>
        <v>123526.2415</v>
      </c>
      <c r="O164" s="9">
        <f t="shared" si="69"/>
        <v>52377.34</v>
      </c>
      <c r="P164" s="9">
        <f t="shared" si="69"/>
        <v>61657.631499999996</v>
      </c>
      <c r="Q164" s="9">
        <f t="shared" si="69"/>
        <v>64751.062</v>
      </c>
      <c r="R164" s="9">
        <f t="shared" si="69"/>
        <v>86405.0755</v>
      </c>
      <c r="S164" s="9">
        <f>R164+Q164+P164+O164+N164+M164+L164+K164+J164+I164+H164+G164</f>
        <v>1256494.4715</v>
      </c>
    </row>
    <row r="165" spans="1:19" ht="12.75">
      <c r="A165" s="160" t="s">
        <v>73</v>
      </c>
      <c r="B165" s="161"/>
      <c r="C165" s="161"/>
      <c r="D165" s="161"/>
      <c r="E165" s="161"/>
      <c r="F165" s="162"/>
      <c r="G165" s="8">
        <f aca="true" t="shared" si="70" ref="G165:R165">G162/1000*318.4/3</f>
        <v>17050.32</v>
      </c>
      <c r="H165" s="8">
        <f t="shared" si="70"/>
        <v>43843.68</v>
      </c>
      <c r="I165" s="8">
        <f t="shared" si="70"/>
        <v>58458.23999999999</v>
      </c>
      <c r="J165" s="8">
        <f t="shared" si="70"/>
        <v>73072.8</v>
      </c>
      <c r="K165" s="8">
        <f t="shared" si="70"/>
        <v>73072.8</v>
      </c>
      <c r="L165" s="8">
        <f t="shared" si="70"/>
        <v>73072.8</v>
      </c>
      <c r="M165" s="8">
        <f t="shared" si="70"/>
        <v>56022.48</v>
      </c>
      <c r="N165" s="8">
        <f t="shared" si="70"/>
        <v>56022.48</v>
      </c>
      <c r="O165" s="8">
        <f t="shared" si="70"/>
        <v>0</v>
      </c>
      <c r="P165" s="8">
        <f t="shared" si="70"/>
        <v>7307.279999999999</v>
      </c>
      <c r="Q165" s="8">
        <f t="shared" si="70"/>
        <v>9743.039999999999</v>
      </c>
      <c r="R165" s="8">
        <f t="shared" si="70"/>
        <v>26793.359999999997</v>
      </c>
      <c r="S165" s="9">
        <f>R165+Q165+P165+O165+N165+M165+L165+K165+J165+I165+H165+G165</f>
        <v>494459.27999999997</v>
      </c>
    </row>
    <row r="166" spans="1:19" ht="12.75">
      <c r="A166" s="157" t="s">
        <v>499</v>
      </c>
      <c r="B166" s="158"/>
      <c r="C166" s="158"/>
      <c r="D166" s="158"/>
      <c r="E166" s="158"/>
      <c r="F166" s="159"/>
      <c r="G166" s="9">
        <f aca="true" t="shared" si="71" ref="G166:R166">G165+41242</f>
        <v>58292.32</v>
      </c>
      <c r="H166" s="9">
        <f t="shared" si="71"/>
        <v>85085.68</v>
      </c>
      <c r="I166" s="9">
        <f t="shared" si="71"/>
        <v>99700.23999999999</v>
      </c>
      <c r="J166" s="9">
        <f t="shared" si="71"/>
        <v>114314.8</v>
      </c>
      <c r="K166" s="9">
        <f t="shared" si="71"/>
        <v>114314.8</v>
      </c>
      <c r="L166" s="9">
        <f t="shared" si="71"/>
        <v>114314.8</v>
      </c>
      <c r="M166" s="9">
        <f t="shared" si="71"/>
        <v>97264.48000000001</v>
      </c>
      <c r="N166" s="9">
        <f t="shared" si="71"/>
        <v>97264.48000000001</v>
      </c>
      <c r="O166" s="9">
        <f t="shared" si="71"/>
        <v>41242</v>
      </c>
      <c r="P166" s="9">
        <f t="shared" si="71"/>
        <v>48549.28</v>
      </c>
      <c r="Q166" s="9">
        <f t="shared" si="71"/>
        <v>50985.04</v>
      </c>
      <c r="R166" s="9">
        <f t="shared" si="71"/>
        <v>68035.36</v>
      </c>
      <c r="S166" s="9">
        <f>R166+Q166+P166+O166+N166+M166+L166+K166+J166+I166+H166+G166</f>
        <v>989363.2799999999</v>
      </c>
    </row>
    <row r="167" spans="1:19" ht="15.75">
      <c r="A167" s="163" t="s">
        <v>84</v>
      </c>
      <c r="B167" s="164"/>
      <c r="C167" s="164"/>
      <c r="D167" s="164"/>
      <c r="E167" s="164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5"/>
    </row>
    <row r="168" spans="1:19" ht="12.75">
      <c r="A168" s="169"/>
      <c r="B168" s="170"/>
      <c r="C168" s="170"/>
      <c r="D168" s="170"/>
      <c r="E168" s="170"/>
      <c r="F168" s="171"/>
      <c r="G168" s="166" t="s">
        <v>26</v>
      </c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8"/>
      <c r="S168" s="143" t="s">
        <v>58</v>
      </c>
    </row>
    <row r="169" spans="1:19" ht="12.75">
      <c r="A169" s="172"/>
      <c r="B169" s="173"/>
      <c r="C169" s="173"/>
      <c r="D169" s="173"/>
      <c r="E169" s="173"/>
      <c r="F169" s="174"/>
      <c r="G169" s="6">
        <v>48458</v>
      </c>
      <c r="H169" s="6">
        <v>48488</v>
      </c>
      <c r="I169" s="6">
        <v>48519</v>
      </c>
      <c r="J169" s="6">
        <v>48549</v>
      </c>
      <c r="K169" s="6">
        <v>48580</v>
      </c>
      <c r="L169" s="6">
        <v>48611</v>
      </c>
      <c r="M169" s="6">
        <v>48639</v>
      </c>
      <c r="N169" s="6">
        <v>48670</v>
      </c>
      <c r="O169" s="6">
        <v>48700</v>
      </c>
      <c r="P169" s="6">
        <v>48731</v>
      </c>
      <c r="Q169" s="6">
        <v>48761</v>
      </c>
      <c r="R169" s="6">
        <v>48792</v>
      </c>
      <c r="S169" s="138"/>
    </row>
    <row r="170" spans="1:19" ht="12.75">
      <c r="A170" s="160" t="s">
        <v>71</v>
      </c>
      <c r="B170" s="161"/>
      <c r="C170" s="161"/>
      <c r="D170" s="161"/>
      <c r="E170" s="161"/>
      <c r="F170" s="162"/>
      <c r="G170" s="15">
        <f>'График транспортирования'!D101</f>
        <v>183600</v>
      </c>
      <c r="H170" s="15">
        <f>'График транспортирования'!E101</f>
        <v>390150</v>
      </c>
      <c r="I170" s="15">
        <f>'График транспортирования'!F101</f>
        <v>550800</v>
      </c>
      <c r="J170" s="15">
        <f>'График транспортирования'!G101</f>
        <v>688500</v>
      </c>
      <c r="K170" s="15">
        <f>'График транспортирования'!H101</f>
        <v>688500</v>
      </c>
      <c r="L170" s="15">
        <f>'График транспортирования'!I101</f>
        <v>688500</v>
      </c>
      <c r="M170" s="15">
        <f>'График транспортирования'!J101</f>
        <v>527850</v>
      </c>
      <c r="N170" s="15">
        <f>'График транспортирования'!K101</f>
        <v>527850</v>
      </c>
      <c r="O170" s="15">
        <f>'График транспортирования'!L101</f>
        <v>0</v>
      </c>
      <c r="P170" s="15">
        <f>'График транспортирования'!M101</f>
        <v>91800</v>
      </c>
      <c r="Q170" s="15">
        <f>'График транспортирования'!N101</f>
        <v>68850</v>
      </c>
      <c r="R170" s="15">
        <f>'График транспортирования'!O101</f>
        <v>252450</v>
      </c>
      <c r="S170" s="16">
        <f>R170+Q170+P170+O170+N170+M170+L170+K170+J170+I170+H170+G170</f>
        <v>4658850</v>
      </c>
    </row>
    <row r="171" spans="1:19" ht="12.75">
      <c r="A171" s="160" t="s">
        <v>72</v>
      </c>
      <c r="B171" s="161"/>
      <c r="C171" s="161"/>
      <c r="D171" s="161"/>
      <c r="E171" s="161"/>
      <c r="F171" s="162"/>
      <c r="G171" s="8">
        <f aca="true" t="shared" si="72" ref="G171:R171">G170/1000*404.37/3</f>
        <v>24747.444</v>
      </c>
      <c r="H171" s="8">
        <f t="shared" si="72"/>
        <v>52588.318499999994</v>
      </c>
      <c r="I171" s="8">
        <f t="shared" si="72"/>
        <v>74242.332</v>
      </c>
      <c r="J171" s="8">
        <f t="shared" si="72"/>
        <v>92802.915</v>
      </c>
      <c r="K171" s="8">
        <f t="shared" si="72"/>
        <v>92802.915</v>
      </c>
      <c r="L171" s="8">
        <f t="shared" si="72"/>
        <v>92802.915</v>
      </c>
      <c r="M171" s="8">
        <f t="shared" si="72"/>
        <v>71148.9015</v>
      </c>
      <c r="N171" s="8">
        <f t="shared" si="72"/>
        <v>71148.9015</v>
      </c>
      <c r="O171" s="8">
        <f t="shared" si="72"/>
        <v>0</v>
      </c>
      <c r="P171" s="8">
        <f t="shared" si="72"/>
        <v>12373.722</v>
      </c>
      <c r="Q171" s="8">
        <f t="shared" si="72"/>
        <v>9280.2915</v>
      </c>
      <c r="R171" s="8">
        <f t="shared" si="72"/>
        <v>34027.7355</v>
      </c>
      <c r="S171" s="9">
        <f>R171+Q171+P171+O171+N171+M171+L171+K171+J171+I171+H171+G171</f>
        <v>627966.3915</v>
      </c>
    </row>
    <row r="172" spans="1:19" ht="12.75">
      <c r="A172" s="157" t="s">
        <v>498</v>
      </c>
      <c r="B172" s="158"/>
      <c r="C172" s="158"/>
      <c r="D172" s="158"/>
      <c r="E172" s="158"/>
      <c r="F172" s="159"/>
      <c r="G172" s="9">
        <f aca="true" t="shared" si="73" ref="G172:R172">G171+52377.34</f>
        <v>77124.784</v>
      </c>
      <c r="H172" s="9">
        <f t="shared" si="73"/>
        <v>104965.65849999999</v>
      </c>
      <c r="I172" s="9">
        <f t="shared" si="73"/>
        <v>126619.67199999999</v>
      </c>
      <c r="J172" s="9">
        <f t="shared" si="73"/>
        <v>145180.255</v>
      </c>
      <c r="K172" s="9">
        <f t="shared" si="73"/>
        <v>145180.255</v>
      </c>
      <c r="L172" s="9">
        <f t="shared" si="73"/>
        <v>145180.255</v>
      </c>
      <c r="M172" s="9">
        <f t="shared" si="73"/>
        <v>123526.2415</v>
      </c>
      <c r="N172" s="9">
        <f t="shared" si="73"/>
        <v>123526.2415</v>
      </c>
      <c r="O172" s="9">
        <f t="shared" si="73"/>
        <v>52377.34</v>
      </c>
      <c r="P172" s="9">
        <f t="shared" si="73"/>
        <v>64751.062</v>
      </c>
      <c r="Q172" s="9">
        <f t="shared" si="73"/>
        <v>61657.631499999996</v>
      </c>
      <c r="R172" s="9">
        <f t="shared" si="73"/>
        <v>86405.0755</v>
      </c>
      <c r="S172" s="9">
        <f>R172+Q172+P172+O172+N172+M172+L172+K172+J172+I172+H172+G172</f>
        <v>1256494.4715</v>
      </c>
    </row>
    <row r="173" spans="1:19" ht="12.75">
      <c r="A173" s="160" t="s">
        <v>73</v>
      </c>
      <c r="B173" s="161"/>
      <c r="C173" s="161"/>
      <c r="D173" s="161"/>
      <c r="E173" s="161"/>
      <c r="F173" s="162"/>
      <c r="G173" s="8">
        <f aca="true" t="shared" si="74" ref="G173:R173">G170/1000*318.4/3</f>
        <v>19486.079999999998</v>
      </c>
      <c r="H173" s="8">
        <f t="shared" si="74"/>
        <v>41407.91999999999</v>
      </c>
      <c r="I173" s="8">
        <f t="shared" si="74"/>
        <v>58458.23999999999</v>
      </c>
      <c r="J173" s="8">
        <f t="shared" si="74"/>
        <v>73072.8</v>
      </c>
      <c r="K173" s="8">
        <f t="shared" si="74"/>
        <v>73072.8</v>
      </c>
      <c r="L173" s="8">
        <f t="shared" si="74"/>
        <v>73072.8</v>
      </c>
      <c r="M173" s="8">
        <f t="shared" si="74"/>
        <v>56022.48</v>
      </c>
      <c r="N173" s="8">
        <f t="shared" si="74"/>
        <v>56022.48</v>
      </c>
      <c r="O173" s="8">
        <f t="shared" si="74"/>
        <v>0</v>
      </c>
      <c r="P173" s="8">
        <f t="shared" si="74"/>
        <v>9743.039999999999</v>
      </c>
      <c r="Q173" s="8">
        <f t="shared" si="74"/>
        <v>7307.279999999999</v>
      </c>
      <c r="R173" s="8">
        <f t="shared" si="74"/>
        <v>26793.359999999997</v>
      </c>
      <c r="S173" s="9">
        <f>R173+Q173+P173+O173+N173+M173+L173+K173+J173+I173+H173+G173</f>
        <v>494459.27999999997</v>
      </c>
    </row>
    <row r="174" spans="1:19" ht="12.75">
      <c r="A174" s="157" t="s">
        <v>499</v>
      </c>
      <c r="B174" s="158"/>
      <c r="C174" s="158"/>
      <c r="D174" s="158"/>
      <c r="E174" s="158"/>
      <c r="F174" s="159"/>
      <c r="G174" s="9">
        <f aca="true" t="shared" si="75" ref="G174:R174">G173+41242</f>
        <v>60728.08</v>
      </c>
      <c r="H174" s="9">
        <f t="shared" si="75"/>
        <v>82649.91999999998</v>
      </c>
      <c r="I174" s="9">
        <f t="shared" si="75"/>
        <v>99700.23999999999</v>
      </c>
      <c r="J174" s="9">
        <f t="shared" si="75"/>
        <v>114314.8</v>
      </c>
      <c r="K174" s="9">
        <f t="shared" si="75"/>
        <v>114314.8</v>
      </c>
      <c r="L174" s="9">
        <f t="shared" si="75"/>
        <v>114314.8</v>
      </c>
      <c r="M174" s="9">
        <f t="shared" si="75"/>
        <v>97264.48000000001</v>
      </c>
      <c r="N174" s="9">
        <f t="shared" si="75"/>
        <v>97264.48000000001</v>
      </c>
      <c r="O174" s="9">
        <f t="shared" si="75"/>
        <v>41242</v>
      </c>
      <c r="P174" s="9">
        <f t="shared" si="75"/>
        <v>50985.04</v>
      </c>
      <c r="Q174" s="9">
        <f t="shared" si="75"/>
        <v>48549.28</v>
      </c>
      <c r="R174" s="9">
        <f t="shared" si="75"/>
        <v>68035.36</v>
      </c>
      <c r="S174" s="9">
        <f>R174+Q174+P174+O174+N174+M174+L174+K174+J174+I174+H174+G174</f>
        <v>989363.2799999999</v>
      </c>
    </row>
    <row r="175" spans="1:19" ht="15.75">
      <c r="A175" s="163" t="s">
        <v>85</v>
      </c>
      <c r="B175" s="164"/>
      <c r="C175" s="164"/>
      <c r="D175" s="164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5"/>
    </row>
    <row r="176" spans="1:19" ht="12.75">
      <c r="A176" s="169"/>
      <c r="B176" s="170"/>
      <c r="C176" s="170"/>
      <c r="D176" s="170"/>
      <c r="E176" s="170"/>
      <c r="F176" s="171"/>
      <c r="G176" s="166" t="s">
        <v>26</v>
      </c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8"/>
      <c r="S176" s="143" t="s">
        <v>58</v>
      </c>
    </row>
    <row r="177" spans="1:19" ht="12.75">
      <c r="A177" s="172"/>
      <c r="B177" s="173"/>
      <c r="C177" s="173"/>
      <c r="D177" s="173"/>
      <c r="E177" s="173"/>
      <c r="F177" s="174"/>
      <c r="G177" s="6">
        <v>48823</v>
      </c>
      <c r="H177" s="6">
        <v>48853</v>
      </c>
      <c r="I177" s="6">
        <v>48884</v>
      </c>
      <c r="J177" s="6">
        <v>48914</v>
      </c>
      <c r="K177" s="6">
        <v>48945</v>
      </c>
      <c r="L177" s="6">
        <v>48976</v>
      </c>
      <c r="M177" s="6">
        <v>49004</v>
      </c>
      <c r="N177" s="6">
        <v>49035</v>
      </c>
      <c r="O177" s="6">
        <v>49065</v>
      </c>
      <c r="P177" s="6">
        <v>49096</v>
      </c>
      <c r="Q177" s="6">
        <v>49126</v>
      </c>
      <c r="R177" s="6">
        <v>49157</v>
      </c>
      <c r="S177" s="138"/>
    </row>
    <row r="178" spans="1:19" ht="12.75">
      <c r="A178" s="160" t="s">
        <v>71</v>
      </c>
      <c r="B178" s="161"/>
      <c r="C178" s="161"/>
      <c r="D178" s="161"/>
      <c r="E178" s="161"/>
      <c r="F178" s="162"/>
      <c r="G178" s="15">
        <f>'График транспортирования'!D109</f>
        <v>183600</v>
      </c>
      <c r="H178" s="15">
        <f>'График транспортирования'!E109</f>
        <v>413100</v>
      </c>
      <c r="I178" s="15">
        <f>'График транспортирования'!F109</f>
        <v>527850</v>
      </c>
      <c r="J178" s="15">
        <f>'График транспортирования'!G109</f>
        <v>688500</v>
      </c>
      <c r="K178" s="15">
        <f>'График транспортирования'!H109</f>
        <v>688500</v>
      </c>
      <c r="L178" s="15">
        <f>'График транспортирования'!I109</f>
        <v>688500</v>
      </c>
      <c r="M178" s="15">
        <f>'График транспортирования'!J109</f>
        <v>527850</v>
      </c>
      <c r="N178" s="15">
        <f>'График транспортирования'!K109</f>
        <v>527850</v>
      </c>
      <c r="O178" s="15">
        <f>'График транспортирования'!L109</f>
        <v>0</v>
      </c>
      <c r="P178" s="15">
        <f>'График транспортирования'!M109</f>
        <v>91800</v>
      </c>
      <c r="Q178" s="15">
        <f>'График транспортирования'!N109</f>
        <v>91800</v>
      </c>
      <c r="R178" s="15">
        <f>'График транспортирования'!O109</f>
        <v>229500</v>
      </c>
      <c r="S178" s="16">
        <f>R178+Q178+P178+O178+N178+M178+L178+K178+J178+I178+H178+G178</f>
        <v>4658850</v>
      </c>
    </row>
    <row r="179" spans="1:19" ht="12.75">
      <c r="A179" s="160" t="s">
        <v>72</v>
      </c>
      <c r="B179" s="161"/>
      <c r="C179" s="161"/>
      <c r="D179" s="161"/>
      <c r="E179" s="161"/>
      <c r="F179" s="162"/>
      <c r="G179" s="8">
        <f aca="true" t="shared" si="76" ref="G179:R179">G178/1000*404.37/3</f>
        <v>24747.444</v>
      </c>
      <c r="H179" s="8">
        <f t="shared" si="76"/>
        <v>55681.749</v>
      </c>
      <c r="I179" s="8">
        <f t="shared" si="76"/>
        <v>71148.9015</v>
      </c>
      <c r="J179" s="8">
        <f t="shared" si="76"/>
        <v>92802.915</v>
      </c>
      <c r="K179" s="8">
        <f t="shared" si="76"/>
        <v>92802.915</v>
      </c>
      <c r="L179" s="8">
        <f t="shared" si="76"/>
        <v>92802.915</v>
      </c>
      <c r="M179" s="8">
        <f t="shared" si="76"/>
        <v>71148.9015</v>
      </c>
      <c r="N179" s="8">
        <f t="shared" si="76"/>
        <v>71148.9015</v>
      </c>
      <c r="O179" s="8">
        <f t="shared" si="76"/>
        <v>0</v>
      </c>
      <c r="P179" s="8">
        <f t="shared" si="76"/>
        <v>12373.722</v>
      </c>
      <c r="Q179" s="8">
        <f t="shared" si="76"/>
        <v>12373.722</v>
      </c>
      <c r="R179" s="8">
        <f t="shared" si="76"/>
        <v>30934.305000000004</v>
      </c>
      <c r="S179" s="9">
        <f>R179+Q179+P179+O179+N179+M179+L179+K179+J179+I179+H179+G179</f>
        <v>627966.3914999999</v>
      </c>
    </row>
    <row r="180" spans="1:19" ht="12.75">
      <c r="A180" s="157" t="s">
        <v>498</v>
      </c>
      <c r="B180" s="158"/>
      <c r="C180" s="158"/>
      <c r="D180" s="158"/>
      <c r="E180" s="158"/>
      <c r="F180" s="159"/>
      <c r="G180" s="9">
        <f aca="true" t="shared" si="77" ref="G180:R180">G179+52377.34</f>
        <v>77124.784</v>
      </c>
      <c r="H180" s="9">
        <f t="shared" si="77"/>
        <v>108059.089</v>
      </c>
      <c r="I180" s="9">
        <f t="shared" si="77"/>
        <v>123526.2415</v>
      </c>
      <c r="J180" s="9">
        <f t="shared" si="77"/>
        <v>145180.255</v>
      </c>
      <c r="K180" s="9">
        <f t="shared" si="77"/>
        <v>145180.255</v>
      </c>
      <c r="L180" s="9">
        <f t="shared" si="77"/>
        <v>145180.255</v>
      </c>
      <c r="M180" s="9">
        <f t="shared" si="77"/>
        <v>123526.2415</v>
      </c>
      <c r="N180" s="9">
        <f t="shared" si="77"/>
        <v>123526.2415</v>
      </c>
      <c r="O180" s="9">
        <f t="shared" si="77"/>
        <v>52377.34</v>
      </c>
      <c r="P180" s="9">
        <f t="shared" si="77"/>
        <v>64751.062</v>
      </c>
      <c r="Q180" s="9">
        <f t="shared" si="77"/>
        <v>64751.062</v>
      </c>
      <c r="R180" s="9">
        <f t="shared" si="77"/>
        <v>83311.645</v>
      </c>
      <c r="S180" s="9">
        <f>R180+Q180+P180+O180+N180+M180+L180+K180+J180+I180+H180+G180</f>
        <v>1256494.4715</v>
      </c>
    </row>
    <row r="181" spans="1:19" ht="12.75">
      <c r="A181" s="160" t="s">
        <v>73</v>
      </c>
      <c r="B181" s="161"/>
      <c r="C181" s="161"/>
      <c r="D181" s="161"/>
      <c r="E181" s="161"/>
      <c r="F181" s="162"/>
      <c r="G181" s="8">
        <f aca="true" t="shared" si="78" ref="G181:R181">G178/1000*318.4/3</f>
        <v>19486.079999999998</v>
      </c>
      <c r="H181" s="8">
        <f t="shared" si="78"/>
        <v>43843.68</v>
      </c>
      <c r="I181" s="8">
        <f t="shared" si="78"/>
        <v>56022.48</v>
      </c>
      <c r="J181" s="8">
        <f t="shared" si="78"/>
        <v>73072.8</v>
      </c>
      <c r="K181" s="8">
        <f t="shared" si="78"/>
        <v>73072.8</v>
      </c>
      <c r="L181" s="8">
        <f t="shared" si="78"/>
        <v>73072.8</v>
      </c>
      <c r="M181" s="8">
        <f t="shared" si="78"/>
        <v>56022.48</v>
      </c>
      <c r="N181" s="8">
        <f t="shared" si="78"/>
        <v>56022.48</v>
      </c>
      <c r="O181" s="8">
        <f t="shared" si="78"/>
        <v>0</v>
      </c>
      <c r="P181" s="8">
        <f t="shared" si="78"/>
        <v>9743.039999999999</v>
      </c>
      <c r="Q181" s="8">
        <f t="shared" si="78"/>
        <v>9743.039999999999</v>
      </c>
      <c r="R181" s="8">
        <f t="shared" si="78"/>
        <v>24357.599999999995</v>
      </c>
      <c r="S181" s="9">
        <f>R181+Q181+P181+O181+N181+M181+L181+K181+J181+I181+H181+G181</f>
        <v>494459.27999999997</v>
      </c>
    </row>
    <row r="182" spans="1:19" ht="12.75">
      <c r="A182" s="157" t="s">
        <v>499</v>
      </c>
      <c r="B182" s="158"/>
      <c r="C182" s="158"/>
      <c r="D182" s="158"/>
      <c r="E182" s="158"/>
      <c r="F182" s="159"/>
      <c r="G182" s="9">
        <f aca="true" t="shared" si="79" ref="G182:R182">G181+41242</f>
        <v>60728.08</v>
      </c>
      <c r="H182" s="9">
        <f t="shared" si="79"/>
        <v>85085.68</v>
      </c>
      <c r="I182" s="9">
        <f t="shared" si="79"/>
        <v>97264.48000000001</v>
      </c>
      <c r="J182" s="9">
        <f t="shared" si="79"/>
        <v>114314.8</v>
      </c>
      <c r="K182" s="9">
        <f t="shared" si="79"/>
        <v>114314.8</v>
      </c>
      <c r="L182" s="9">
        <f t="shared" si="79"/>
        <v>114314.8</v>
      </c>
      <c r="M182" s="9">
        <f t="shared" si="79"/>
        <v>97264.48000000001</v>
      </c>
      <c r="N182" s="9">
        <f t="shared" si="79"/>
        <v>97264.48000000001</v>
      </c>
      <c r="O182" s="9">
        <f t="shared" si="79"/>
        <v>41242</v>
      </c>
      <c r="P182" s="9">
        <f t="shared" si="79"/>
        <v>50985.04</v>
      </c>
      <c r="Q182" s="9">
        <f t="shared" si="79"/>
        <v>50985.04</v>
      </c>
      <c r="R182" s="9">
        <f t="shared" si="79"/>
        <v>65599.59999999999</v>
      </c>
      <c r="S182" s="9">
        <f>R182+Q182+P182+O182+N182+M182+L182+K182+J182+I182+H182+G182</f>
        <v>989363.2799999999</v>
      </c>
    </row>
    <row r="183" spans="1:19" ht="15.75">
      <c r="A183" s="163" t="s">
        <v>86</v>
      </c>
      <c r="B183" s="164"/>
      <c r="C183" s="164"/>
      <c r="D183" s="164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5"/>
    </row>
    <row r="184" spans="1:19" ht="12.75">
      <c r="A184" s="169"/>
      <c r="B184" s="170"/>
      <c r="C184" s="170"/>
      <c r="D184" s="170"/>
      <c r="E184" s="170"/>
      <c r="F184" s="171"/>
      <c r="G184" s="166" t="s">
        <v>26</v>
      </c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8"/>
      <c r="S184" s="143" t="s">
        <v>58</v>
      </c>
    </row>
    <row r="185" spans="1:19" ht="12.75">
      <c r="A185" s="172"/>
      <c r="B185" s="173"/>
      <c r="C185" s="173"/>
      <c r="D185" s="173"/>
      <c r="E185" s="173"/>
      <c r="F185" s="174"/>
      <c r="G185" s="6">
        <v>49188</v>
      </c>
      <c r="H185" s="6">
        <v>49218</v>
      </c>
      <c r="I185" s="6">
        <v>49249</v>
      </c>
      <c r="J185" s="6">
        <v>49279</v>
      </c>
      <c r="K185" s="6">
        <v>49310</v>
      </c>
      <c r="L185" s="6">
        <v>49341</v>
      </c>
      <c r="M185" s="6">
        <v>49369</v>
      </c>
      <c r="N185" s="6">
        <v>49400</v>
      </c>
      <c r="O185" s="6">
        <v>49430</v>
      </c>
      <c r="P185" s="6">
        <v>49461</v>
      </c>
      <c r="Q185" s="6">
        <v>49491</v>
      </c>
      <c r="R185" s="6">
        <v>49522</v>
      </c>
      <c r="S185" s="138"/>
    </row>
    <row r="186" spans="1:19" ht="12.75">
      <c r="A186" s="160" t="s">
        <v>71</v>
      </c>
      <c r="B186" s="161"/>
      <c r="C186" s="161"/>
      <c r="D186" s="161"/>
      <c r="E186" s="161"/>
      <c r="F186" s="162"/>
      <c r="G186" s="15">
        <f>'График транспортирования'!D117</f>
        <v>183600</v>
      </c>
      <c r="H186" s="15">
        <f>'График транспортирования'!E117</f>
        <v>413100</v>
      </c>
      <c r="I186" s="15">
        <f>'График транспортирования'!F117</f>
        <v>550800</v>
      </c>
      <c r="J186" s="15">
        <f>'График транспортирования'!G117</f>
        <v>688500</v>
      </c>
      <c r="K186" s="15">
        <f>'График транспортирования'!H117</f>
        <v>688500</v>
      </c>
      <c r="L186" s="15">
        <f>'График транспортирования'!I117</f>
        <v>688500</v>
      </c>
      <c r="M186" s="15">
        <f>'График транспортирования'!J117</f>
        <v>504900</v>
      </c>
      <c r="N186" s="15">
        <f>'График транспортирования'!K117</f>
        <v>527850</v>
      </c>
      <c r="O186" s="15">
        <f>'График транспортирования'!L117</f>
        <v>0</v>
      </c>
      <c r="P186" s="15">
        <f>'График транспортирования'!M117</f>
        <v>91800</v>
      </c>
      <c r="Q186" s="15">
        <f>'График транспортирования'!N117</f>
        <v>91800</v>
      </c>
      <c r="R186" s="15">
        <f>'График транспортирования'!O117</f>
        <v>229500</v>
      </c>
      <c r="S186" s="16">
        <f>R186+Q186+P186+O186+N186+M186+L186+K186+J186+I186+H186+G186</f>
        <v>4658850</v>
      </c>
    </row>
    <row r="187" spans="1:19" ht="12.75">
      <c r="A187" s="160" t="s">
        <v>72</v>
      </c>
      <c r="B187" s="161"/>
      <c r="C187" s="161"/>
      <c r="D187" s="161"/>
      <c r="E187" s="161"/>
      <c r="F187" s="162"/>
      <c r="G187" s="8">
        <f aca="true" t="shared" si="80" ref="G187:R187">G186/1000*404.37/3</f>
        <v>24747.444</v>
      </c>
      <c r="H187" s="8">
        <f t="shared" si="80"/>
        <v>55681.749</v>
      </c>
      <c r="I187" s="8">
        <f t="shared" si="80"/>
        <v>74242.332</v>
      </c>
      <c r="J187" s="8">
        <f t="shared" si="80"/>
        <v>92802.915</v>
      </c>
      <c r="K187" s="8">
        <f t="shared" si="80"/>
        <v>92802.915</v>
      </c>
      <c r="L187" s="8">
        <f t="shared" si="80"/>
        <v>92802.915</v>
      </c>
      <c r="M187" s="8">
        <f t="shared" si="80"/>
        <v>68055.471</v>
      </c>
      <c r="N187" s="8">
        <f t="shared" si="80"/>
        <v>71148.9015</v>
      </c>
      <c r="O187" s="8">
        <f t="shared" si="80"/>
        <v>0</v>
      </c>
      <c r="P187" s="8">
        <f t="shared" si="80"/>
        <v>12373.722</v>
      </c>
      <c r="Q187" s="8">
        <f t="shared" si="80"/>
        <v>12373.722</v>
      </c>
      <c r="R187" s="8">
        <f t="shared" si="80"/>
        <v>30934.305000000004</v>
      </c>
      <c r="S187" s="9">
        <f>R187+Q187+P187+O187+N187+M187+L187+K187+J187+I187+H187+G187</f>
        <v>627966.3914999999</v>
      </c>
    </row>
    <row r="188" spans="1:19" ht="12.75">
      <c r="A188" s="157" t="s">
        <v>498</v>
      </c>
      <c r="B188" s="158"/>
      <c r="C188" s="158"/>
      <c r="D188" s="158"/>
      <c r="E188" s="158"/>
      <c r="F188" s="159"/>
      <c r="G188" s="9">
        <f aca="true" t="shared" si="81" ref="G188:R188">G187+52377.34</f>
        <v>77124.784</v>
      </c>
      <c r="H188" s="9">
        <f t="shared" si="81"/>
        <v>108059.089</v>
      </c>
      <c r="I188" s="9">
        <f t="shared" si="81"/>
        <v>126619.67199999999</v>
      </c>
      <c r="J188" s="9">
        <f t="shared" si="81"/>
        <v>145180.255</v>
      </c>
      <c r="K188" s="9">
        <f t="shared" si="81"/>
        <v>145180.255</v>
      </c>
      <c r="L188" s="9">
        <f t="shared" si="81"/>
        <v>145180.255</v>
      </c>
      <c r="M188" s="9">
        <f t="shared" si="81"/>
        <v>120432.811</v>
      </c>
      <c r="N188" s="9">
        <f t="shared" si="81"/>
        <v>123526.2415</v>
      </c>
      <c r="O188" s="9">
        <f t="shared" si="81"/>
        <v>52377.34</v>
      </c>
      <c r="P188" s="9">
        <f t="shared" si="81"/>
        <v>64751.062</v>
      </c>
      <c r="Q188" s="9">
        <f t="shared" si="81"/>
        <v>64751.062</v>
      </c>
      <c r="R188" s="9">
        <f t="shared" si="81"/>
        <v>83311.645</v>
      </c>
      <c r="S188" s="9">
        <f>R188+Q188+P188+O188+N188+M188+L188+K188+J188+I188+H188+G188</f>
        <v>1256494.4715</v>
      </c>
    </row>
    <row r="189" spans="1:19" ht="12.75">
      <c r="A189" s="160" t="s">
        <v>73</v>
      </c>
      <c r="B189" s="161"/>
      <c r="C189" s="161"/>
      <c r="D189" s="161"/>
      <c r="E189" s="161"/>
      <c r="F189" s="162"/>
      <c r="G189" s="8">
        <f aca="true" t="shared" si="82" ref="G189:R189">G186/1000*318.4/3</f>
        <v>19486.079999999998</v>
      </c>
      <c r="H189" s="8">
        <f t="shared" si="82"/>
        <v>43843.68</v>
      </c>
      <c r="I189" s="8">
        <f t="shared" si="82"/>
        <v>58458.23999999999</v>
      </c>
      <c r="J189" s="8">
        <f t="shared" si="82"/>
        <v>73072.8</v>
      </c>
      <c r="K189" s="8">
        <f t="shared" si="82"/>
        <v>73072.8</v>
      </c>
      <c r="L189" s="8">
        <f t="shared" si="82"/>
        <v>73072.8</v>
      </c>
      <c r="M189" s="8">
        <f t="shared" si="82"/>
        <v>53586.719999999994</v>
      </c>
      <c r="N189" s="8">
        <f t="shared" si="82"/>
        <v>56022.48</v>
      </c>
      <c r="O189" s="8">
        <f t="shared" si="82"/>
        <v>0</v>
      </c>
      <c r="P189" s="8">
        <f t="shared" si="82"/>
        <v>9743.039999999999</v>
      </c>
      <c r="Q189" s="8">
        <f t="shared" si="82"/>
        <v>9743.039999999999</v>
      </c>
      <c r="R189" s="8">
        <f t="shared" si="82"/>
        <v>24357.599999999995</v>
      </c>
      <c r="S189" s="9">
        <f>R189+Q189+P189+O189+N189+M189+L189+K189+J189+I189+H189+G189</f>
        <v>494459.27999999997</v>
      </c>
    </row>
    <row r="190" spans="1:19" ht="12.75">
      <c r="A190" s="157" t="s">
        <v>499</v>
      </c>
      <c r="B190" s="158"/>
      <c r="C190" s="158"/>
      <c r="D190" s="158"/>
      <c r="E190" s="158"/>
      <c r="F190" s="159"/>
      <c r="G190" s="9">
        <f aca="true" t="shared" si="83" ref="G190:R190">G189+41242</f>
        <v>60728.08</v>
      </c>
      <c r="H190" s="9">
        <f t="shared" si="83"/>
        <v>85085.68</v>
      </c>
      <c r="I190" s="9">
        <f t="shared" si="83"/>
        <v>99700.23999999999</v>
      </c>
      <c r="J190" s="9">
        <f t="shared" si="83"/>
        <v>114314.8</v>
      </c>
      <c r="K190" s="9">
        <f t="shared" si="83"/>
        <v>114314.8</v>
      </c>
      <c r="L190" s="9">
        <f t="shared" si="83"/>
        <v>114314.8</v>
      </c>
      <c r="M190" s="9">
        <f t="shared" si="83"/>
        <v>94828.72</v>
      </c>
      <c r="N190" s="9">
        <f t="shared" si="83"/>
        <v>97264.48000000001</v>
      </c>
      <c r="O190" s="9">
        <f t="shared" si="83"/>
        <v>41242</v>
      </c>
      <c r="P190" s="9">
        <f t="shared" si="83"/>
        <v>50985.04</v>
      </c>
      <c r="Q190" s="9">
        <f t="shared" si="83"/>
        <v>50985.04</v>
      </c>
      <c r="R190" s="9">
        <f t="shared" si="83"/>
        <v>65599.59999999999</v>
      </c>
      <c r="S190" s="9">
        <f>R190+Q190+P190+O190+N190+M190+L190+K190+J190+I190+H190+G190</f>
        <v>989363.2799999999</v>
      </c>
    </row>
    <row r="191" spans="1:19" ht="18.75">
      <c r="A191" s="131" t="s">
        <v>111</v>
      </c>
      <c r="B191" s="131"/>
      <c r="C191" s="131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  <c r="P191" s="131"/>
      <c r="Q191" s="131"/>
      <c r="R191" s="131"/>
      <c r="S191" s="131"/>
    </row>
    <row r="192" spans="1:19" ht="12.75">
      <c r="A192" s="146" t="s">
        <v>26</v>
      </c>
      <c r="B192" s="148" t="s">
        <v>87</v>
      </c>
      <c r="C192" s="148"/>
      <c r="D192" s="150" t="s">
        <v>19</v>
      </c>
      <c r="E192" s="150"/>
      <c r="F192" s="150"/>
      <c r="G192" s="150"/>
      <c r="H192" s="126" t="s">
        <v>20</v>
      </c>
      <c r="I192" s="126"/>
      <c r="J192" s="126"/>
      <c r="K192" s="126"/>
      <c r="L192" s="126"/>
      <c r="M192" s="148" t="s">
        <v>88</v>
      </c>
      <c r="N192" s="148"/>
      <c r="O192" s="148"/>
      <c r="P192" s="148" t="s">
        <v>28</v>
      </c>
      <c r="Q192" s="148"/>
      <c r="R192" s="148" t="s">
        <v>29</v>
      </c>
      <c r="S192" s="148"/>
    </row>
    <row r="193" spans="1:19" ht="12.75">
      <c r="A193" s="146"/>
      <c r="B193" s="148"/>
      <c r="C193" s="148"/>
      <c r="D193" s="150"/>
      <c r="E193" s="150"/>
      <c r="F193" s="150"/>
      <c r="G193" s="150"/>
      <c r="H193" s="148" t="s">
        <v>89</v>
      </c>
      <c r="I193" s="148"/>
      <c r="J193" s="150" t="s">
        <v>501</v>
      </c>
      <c r="K193" s="150"/>
      <c r="L193" s="150"/>
      <c r="M193" s="148"/>
      <c r="N193" s="148"/>
      <c r="O193" s="148"/>
      <c r="P193" s="148"/>
      <c r="Q193" s="148"/>
      <c r="R193" s="148"/>
      <c r="S193" s="148"/>
    </row>
    <row r="194" spans="1:19" ht="12.75">
      <c r="A194" s="146"/>
      <c r="B194" s="148"/>
      <c r="C194" s="148"/>
      <c r="D194" s="148" t="s">
        <v>500</v>
      </c>
      <c r="E194" s="148"/>
      <c r="F194" s="148" t="s">
        <v>502</v>
      </c>
      <c r="G194" s="148"/>
      <c r="H194" s="148"/>
      <c r="I194" s="148"/>
      <c r="J194" s="150"/>
      <c r="K194" s="150"/>
      <c r="L194" s="150"/>
      <c r="M194" s="148"/>
      <c r="N194" s="148"/>
      <c r="O194" s="148"/>
      <c r="P194" s="148"/>
      <c r="Q194" s="148"/>
      <c r="R194" s="148"/>
      <c r="S194" s="148"/>
    </row>
    <row r="195" spans="1:19" ht="12.75">
      <c r="A195" s="146"/>
      <c r="B195" s="148"/>
      <c r="C195" s="148"/>
      <c r="D195" s="148"/>
      <c r="E195" s="148"/>
      <c r="F195" s="148"/>
      <c r="G195" s="148"/>
      <c r="H195" s="148"/>
      <c r="I195" s="148"/>
      <c r="J195" s="150"/>
      <c r="K195" s="150"/>
      <c r="L195" s="150"/>
      <c r="M195" s="148"/>
      <c r="N195" s="148"/>
      <c r="O195" s="148"/>
      <c r="P195" s="148"/>
      <c r="Q195" s="148"/>
      <c r="R195" s="148"/>
      <c r="S195" s="148"/>
    </row>
    <row r="196" spans="1:19" ht="13.5" thickBot="1">
      <c r="A196" s="146"/>
      <c r="B196" s="148"/>
      <c r="C196" s="148"/>
      <c r="D196" s="148"/>
      <c r="E196" s="148"/>
      <c r="F196" s="148"/>
      <c r="G196" s="148"/>
      <c r="H196" s="148"/>
      <c r="I196" s="148"/>
      <c r="J196" s="150"/>
      <c r="K196" s="150"/>
      <c r="L196" s="150"/>
      <c r="M196" s="148"/>
      <c r="N196" s="148"/>
      <c r="O196" s="148"/>
      <c r="P196" s="148"/>
      <c r="Q196" s="148"/>
      <c r="R196" s="148"/>
      <c r="S196" s="148"/>
    </row>
    <row r="197" spans="1:19" ht="13.5" thickBot="1">
      <c r="A197" s="134" t="s">
        <v>91</v>
      </c>
      <c r="B197" s="135"/>
      <c r="C197" s="135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136"/>
    </row>
    <row r="198" spans="1:19" ht="12.75">
      <c r="A198" s="17">
        <v>9</v>
      </c>
      <c r="B198" s="132">
        <f>G92</f>
        <v>84858.36025</v>
      </c>
      <c r="C198" s="133"/>
      <c r="D198" s="132">
        <f>B198/100*22</f>
        <v>18668.839255</v>
      </c>
      <c r="E198" s="132"/>
      <c r="F198" s="133"/>
      <c r="G198" s="133"/>
      <c r="H198" s="132">
        <f>B198/100*0.4</f>
        <v>339.433441</v>
      </c>
      <c r="I198" s="132"/>
      <c r="J198" s="132">
        <f>B198/100*2.9</f>
        <v>2460.89244725</v>
      </c>
      <c r="K198" s="132"/>
      <c r="L198" s="132"/>
      <c r="M198" s="132">
        <f>B198/100*5.1</f>
        <v>4327.77637275</v>
      </c>
      <c r="N198" s="132"/>
      <c r="O198" s="132"/>
      <c r="P198" s="137">
        <f>M198+J198+H198+D198</f>
        <v>25796.941516</v>
      </c>
      <c r="Q198" s="138"/>
      <c r="R198" s="132">
        <f>P198</f>
        <v>25796.941516</v>
      </c>
      <c r="S198" s="133"/>
    </row>
    <row r="199" spans="1:19" ht="12.75">
      <c r="A199" s="13">
        <v>10</v>
      </c>
      <c r="B199" s="130">
        <f>H92+B198</f>
        <v>174356.86625</v>
      </c>
      <c r="C199" s="115"/>
      <c r="D199" s="130">
        <f>(B199-B198)/100*22</f>
        <v>19689.67132</v>
      </c>
      <c r="E199" s="130"/>
      <c r="F199" s="115"/>
      <c r="G199" s="115"/>
      <c r="H199" s="130">
        <f>(B199-B198)/100*0.4</f>
        <v>357.994024</v>
      </c>
      <c r="I199" s="130"/>
      <c r="J199" s="130">
        <f>(B199-B198)/100*2.9</f>
        <v>2595.456674</v>
      </c>
      <c r="K199" s="130"/>
      <c r="L199" s="130"/>
      <c r="M199" s="130">
        <f>(B199-B198)/100*5.1</f>
        <v>4564.423806</v>
      </c>
      <c r="N199" s="130"/>
      <c r="O199" s="130"/>
      <c r="P199" s="114">
        <f>M199+J199+H199+D199</f>
        <v>27207.545824</v>
      </c>
      <c r="Q199" s="126"/>
      <c r="R199" s="130">
        <f>R198+P199</f>
        <v>53004.48734</v>
      </c>
      <c r="S199" s="115"/>
    </row>
    <row r="200" spans="1:19" ht="12.75">
      <c r="A200" s="13">
        <v>11</v>
      </c>
      <c r="B200" s="130">
        <f>I92+B199</f>
        <v>273135.66375</v>
      </c>
      <c r="C200" s="115"/>
      <c r="D200" s="130">
        <f>(B200-B199)/100*22</f>
        <v>21731.335450000006</v>
      </c>
      <c r="E200" s="130"/>
      <c r="F200" s="115"/>
      <c r="G200" s="115"/>
      <c r="H200" s="130">
        <f>(B200-B199)/100*0.4</f>
        <v>395.1151900000001</v>
      </c>
      <c r="I200" s="130"/>
      <c r="J200" s="130">
        <f>(B200-B199)/100*2.9</f>
        <v>2864.5851275000005</v>
      </c>
      <c r="K200" s="130"/>
      <c r="L200" s="130"/>
      <c r="M200" s="130">
        <f>(B200-B199)/100*5.1</f>
        <v>5037.718672500001</v>
      </c>
      <c r="N200" s="130"/>
      <c r="O200" s="130"/>
      <c r="P200" s="114">
        <f>M200+J200+H200+D200</f>
        <v>30028.754440000008</v>
      </c>
      <c r="Q200" s="126"/>
      <c r="R200" s="130">
        <f>R199+P200</f>
        <v>83033.24178000001</v>
      </c>
      <c r="S200" s="115"/>
    </row>
    <row r="201" spans="1:19" ht="13.5" thickBot="1">
      <c r="A201" s="18">
        <v>12</v>
      </c>
      <c r="B201" s="144">
        <f>J92+B200</f>
        <v>395115.19</v>
      </c>
      <c r="C201" s="145"/>
      <c r="D201" s="130">
        <f>(B201-B200)/100*22</f>
        <v>26835.495775</v>
      </c>
      <c r="E201" s="130"/>
      <c r="F201" s="145"/>
      <c r="G201" s="145"/>
      <c r="H201" s="130">
        <f>(B201-B200)/100*0.4</f>
        <v>487.918105</v>
      </c>
      <c r="I201" s="130"/>
      <c r="J201" s="130">
        <f>(B201-B200)/100*2.9</f>
        <v>3537.40626125</v>
      </c>
      <c r="K201" s="130"/>
      <c r="L201" s="130"/>
      <c r="M201" s="130">
        <f>(B201-B200)/100*5.1</f>
        <v>6220.95583875</v>
      </c>
      <c r="N201" s="130"/>
      <c r="O201" s="130"/>
      <c r="P201" s="142">
        <f>M201+J201+H201+D201</f>
        <v>37081.77598</v>
      </c>
      <c r="Q201" s="143"/>
      <c r="R201" s="144">
        <f>R200+P201</f>
        <v>120115.01776000002</v>
      </c>
      <c r="S201" s="145"/>
    </row>
    <row r="202" spans="1:19" ht="13.5" thickBot="1">
      <c r="A202" s="134" t="s">
        <v>90</v>
      </c>
      <c r="B202" s="135"/>
      <c r="C202" s="135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136"/>
    </row>
    <row r="203" spans="1:19" ht="12.75">
      <c r="A203" s="17">
        <v>1</v>
      </c>
      <c r="B203" s="132">
        <f>K92</f>
        <v>145180.255</v>
      </c>
      <c r="C203" s="133"/>
      <c r="D203" s="132">
        <f>B203/100*22</f>
        <v>31939.656100000004</v>
      </c>
      <c r="E203" s="132"/>
      <c r="F203" s="133"/>
      <c r="G203" s="133"/>
      <c r="H203" s="132">
        <f>B203/100*0.4</f>
        <v>580.7210200000001</v>
      </c>
      <c r="I203" s="132"/>
      <c r="J203" s="132">
        <f>B203/100*2.9</f>
        <v>4210.227395</v>
      </c>
      <c r="K203" s="132"/>
      <c r="L203" s="132"/>
      <c r="M203" s="132">
        <f>B203/100*5.1</f>
        <v>7404.193005</v>
      </c>
      <c r="N203" s="132"/>
      <c r="O203" s="132"/>
      <c r="P203" s="137">
        <f aca="true" t="shared" si="84" ref="P203:P210">M203+J203+H203+D203</f>
        <v>44134.79752000001</v>
      </c>
      <c r="Q203" s="138"/>
      <c r="R203" s="132">
        <f>P203</f>
        <v>44134.79752000001</v>
      </c>
      <c r="S203" s="133"/>
    </row>
    <row r="204" spans="1:19" ht="12.75">
      <c r="A204" s="13">
        <v>2</v>
      </c>
      <c r="B204" s="130">
        <f>L92+B203</f>
        <v>262519.6355</v>
      </c>
      <c r="C204" s="115"/>
      <c r="D204" s="130">
        <f aca="true" t="shared" si="85" ref="D204:D210">(B204-B203)/100*22</f>
        <v>25814.663709999993</v>
      </c>
      <c r="E204" s="130"/>
      <c r="F204" s="115"/>
      <c r="G204" s="115"/>
      <c r="H204" s="130">
        <f aca="true" t="shared" si="86" ref="H204:H210">(B204-B203)/100*0.4</f>
        <v>469.3575219999999</v>
      </c>
      <c r="I204" s="130"/>
      <c r="J204" s="130">
        <f aca="true" t="shared" si="87" ref="J204:J210">(B204-B203)/100*2.9</f>
        <v>3402.842034499999</v>
      </c>
      <c r="K204" s="130"/>
      <c r="L204" s="130"/>
      <c r="M204" s="130">
        <f aca="true" t="shared" si="88" ref="M204:M210">(B204-B203)/100*5.1</f>
        <v>5984.308405499998</v>
      </c>
      <c r="N204" s="130"/>
      <c r="O204" s="130"/>
      <c r="P204" s="114">
        <f t="shared" si="84"/>
        <v>35671.17167199999</v>
      </c>
      <c r="Q204" s="126"/>
      <c r="R204" s="130">
        <f aca="true" t="shared" si="89" ref="R204:R210">R203+P204</f>
        <v>79805.96919199999</v>
      </c>
      <c r="S204" s="115"/>
    </row>
    <row r="205" spans="1:19" ht="12.75">
      <c r="A205" s="13">
        <v>3</v>
      </c>
      <c r="B205" s="130">
        <f>M92+B204</f>
        <v>352018.14149999997</v>
      </c>
      <c r="C205" s="115"/>
      <c r="D205" s="130">
        <f t="shared" si="85"/>
        <v>19689.67132</v>
      </c>
      <c r="E205" s="130"/>
      <c r="F205" s="115"/>
      <c r="G205" s="115"/>
      <c r="H205" s="130">
        <f t="shared" si="86"/>
        <v>357.994024</v>
      </c>
      <c r="I205" s="130"/>
      <c r="J205" s="130">
        <f t="shared" si="87"/>
        <v>2595.456674</v>
      </c>
      <c r="K205" s="130"/>
      <c r="L205" s="130"/>
      <c r="M205" s="130">
        <f t="shared" si="88"/>
        <v>4564.423806</v>
      </c>
      <c r="N205" s="130"/>
      <c r="O205" s="130"/>
      <c r="P205" s="114">
        <f t="shared" si="84"/>
        <v>27207.545824</v>
      </c>
      <c r="Q205" s="126"/>
      <c r="R205" s="130">
        <f t="shared" si="89"/>
        <v>107013.51501599999</v>
      </c>
      <c r="S205" s="115"/>
    </row>
    <row r="206" spans="1:19" ht="12.75">
      <c r="A206" s="13">
        <v>4</v>
      </c>
      <c r="B206" s="130">
        <f>N92+B205</f>
        <v>455437.08475</v>
      </c>
      <c r="C206" s="115"/>
      <c r="D206" s="130">
        <f t="shared" si="85"/>
        <v>22752.167515</v>
      </c>
      <c r="E206" s="130"/>
      <c r="F206" s="115"/>
      <c r="G206" s="115"/>
      <c r="H206" s="130">
        <f t="shared" si="86"/>
        <v>413.67577300000005</v>
      </c>
      <c r="I206" s="130"/>
      <c r="J206" s="130">
        <f t="shared" si="87"/>
        <v>2999.14935425</v>
      </c>
      <c r="K206" s="130"/>
      <c r="L206" s="130"/>
      <c r="M206" s="130">
        <f t="shared" si="88"/>
        <v>5274.36610575</v>
      </c>
      <c r="N206" s="130"/>
      <c r="O206" s="130"/>
      <c r="P206" s="114">
        <f t="shared" si="84"/>
        <v>31439.358748000002</v>
      </c>
      <c r="Q206" s="126"/>
      <c r="R206" s="130">
        <f t="shared" si="89"/>
        <v>138452.873764</v>
      </c>
      <c r="S206" s="115"/>
    </row>
    <row r="207" spans="1:19" ht="12.75">
      <c r="A207" s="13">
        <v>5</v>
      </c>
      <c r="B207" s="130">
        <f>O92+B206</f>
        <v>507814.42475</v>
      </c>
      <c r="C207" s="115"/>
      <c r="D207" s="130">
        <f t="shared" si="85"/>
        <v>11523.014800000006</v>
      </c>
      <c r="E207" s="130"/>
      <c r="F207" s="115"/>
      <c r="G207" s="115"/>
      <c r="H207" s="130">
        <f t="shared" si="86"/>
        <v>209.50936000000013</v>
      </c>
      <c r="I207" s="130"/>
      <c r="J207" s="130">
        <f t="shared" si="87"/>
        <v>1518.9428600000008</v>
      </c>
      <c r="K207" s="130"/>
      <c r="L207" s="130"/>
      <c r="M207" s="130">
        <f t="shared" si="88"/>
        <v>2671.244340000001</v>
      </c>
      <c r="N207" s="130"/>
      <c r="O207" s="130"/>
      <c r="P207" s="114">
        <f t="shared" si="84"/>
        <v>15922.711360000008</v>
      </c>
      <c r="Q207" s="126"/>
      <c r="R207" s="130">
        <f t="shared" si="89"/>
        <v>154375.585124</v>
      </c>
      <c r="S207" s="115"/>
    </row>
    <row r="208" spans="1:19" ht="12.75">
      <c r="A208" s="13">
        <v>6</v>
      </c>
      <c r="B208" s="130">
        <f>P92+B207</f>
        <v>564831.9105</v>
      </c>
      <c r="C208" s="115"/>
      <c r="D208" s="130">
        <f t="shared" si="85"/>
        <v>12543.846864999998</v>
      </c>
      <c r="E208" s="130"/>
      <c r="F208" s="130"/>
      <c r="G208" s="130"/>
      <c r="H208" s="130">
        <f t="shared" si="86"/>
        <v>228.06994299999997</v>
      </c>
      <c r="I208" s="130"/>
      <c r="J208" s="130">
        <f t="shared" si="87"/>
        <v>1653.5070867499996</v>
      </c>
      <c r="K208" s="130"/>
      <c r="L208" s="130"/>
      <c r="M208" s="130">
        <f t="shared" si="88"/>
        <v>2907.8917732499995</v>
      </c>
      <c r="N208" s="130"/>
      <c r="O208" s="130"/>
      <c r="P208" s="114">
        <f t="shared" si="84"/>
        <v>17333.315667999996</v>
      </c>
      <c r="Q208" s="126"/>
      <c r="R208" s="130">
        <f t="shared" si="89"/>
        <v>171708.900792</v>
      </c>
      <c r="S208" s="115"/>
    </row>
    <row r="209" spans="1:19" ht="13.5" thickBot="1">
      <c r="A209" s="13">
        <v>7</v>
      </c>
      <c r="B209" s="130">
        <f>Q92+B208</f>
        <v>626489.542</v>
      </c>
      <c r="C209" s="115"/>
      <c r="D209" s="130">
        <f t="shared" si="85"/>
        <v>13564.678930000004</v>
      </c>
      <c r="E209" s="130"/>
      <c r="F209" s="130"/>
      <c r="G209" s="130"/>
      <c r="H209" s="130">
        <f t="shared" si="86"/>
        <v>246.63052600000006</v>
      </c>
      <c r="I209" s="130"/>
      <c r="J209" s="130">
        <f t="shared" si="87"/>
        <v>1788.0713135000003</v>
      </c>
      <c r="K209" s="130"/>
      <c r="L209" s="130"/>
      <c r="M209" s="130">
        <f t="shared" si="88"/>
        <v>3144.5392065000005</v>
      </c>
      <c r="N209" s="130"/>
      <c r="O209" s="130"/>
      <c r="P209" s="114">
        <f t="shared" si="84"/>
        <v>18743.919976000005</v>
      </c>
      <c r="Q209" s="126"/>
      <c r="R209" s="130">
        <f t="shared" si="89"/>
        <v>190452.820768</v>
      </c>
      <c r="S209" s="115"/>
    </row>
    <row r="210" spans="1:38" ht="13.5" thickBot="1">
      <c r="A210" s="18">
        <v>8</v>
      </c>
      <c r="B210" s="144">
        <f>R92+B209</f>
        <v>697427.465</v>
      </c>
      <c r="C210" s="145"/>
      <c r="D210" s="130">
        <f t="shared" si="85"/>
        <v>15606.34305999999</v>
      </c>
      <c r="E210" s="130"/>
      <c r="F210" s="144"/>
      <c r="G210" s="144"/>
      <c r="H210" s="130">
        <f t="shared" si="86"/>
        <v>283.7516919999998</v>
      </c>
      <c r="I210" s="130"/>
      <c r="J210" s="130">
        <f t="shared" si="87"/>
        <v>2057.1997669999987</v>
      </c>
      <c r="K210" s="130"/>
      <c r="L210" s="130"/>
      <c r="M210" s="130">
        <f t="shared" si="88"/>
        <v>3617.8340729999973</v>
      </c>
      <c r="N210" s="130"/>
      <c r="O210" s="130"/>
      <c r="P210" s="142">
        <f t="shared" si="84"/>
        <v>21565.128591999986</v>
      </c>
      <c r="Q210" s="143"/>
      <c r="R210" s="144">
        <f t="shared" si="89"/>
        <v>212017.94936</v>
      </c>
      <c r="S210" s="156"/>
      <c r="T210" s="134" t="s">
        <v>104</v>
      </c>
      <c r="U210" s="135"/>
      <c r="V210" s="135"/>
      <c r="W210" s="135"/>
      <c r="X210" s="135"/>
      <c r="Y210" s="135"/>
      <c r="Z210" s="135"/>
      <c r="AA210" s="135"/>
      <c r="AB210" s="135"/>
      <c r="AC210" s="135"/>
      <c r="AD210" s="135"/>
      <c r="AE210" s="135"/>
      <c r="AF210" s="135"/>
      <c r="AG210" s="135"/>
      <c r="AH210" s="135"/>
      <c r="AI210" s="135"/>
      <c r="AJ210" s="135"/>
      <c r="AK210" s="135"/>
      <c r="AL210" s="136"/>
    </row>
    <row r="211" spans="1:38" ht="13.5" thickBot="1">
      <c r="A211" s="134" t="s">
        <v>92</v>
      </c>
      <c r="B211" s="135"/>
      <c r="C211" s="135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135"/>
      <c r="T211" s="139" t="s">
        <v>92</v>
      </c>
      <c r="U211" s="140"/>
      <c r="V211" s="140"/>
      <c r="W211" s="140"/>
      <c r="X211" s="140"/>
      <c r="Y211" s="140"/>
      <c r="Z211" s="140"/>
      <c r="AA211" s="140"/>
      <c r="AB211" s="140"/>
      <c r="AC211" s="140"/>
      <c r="AD211" s="140"/>
      <c r="AE211" s="140"/>
      <c r="AF211" s="140"/>
      <c r="AG211" s="140"/>
      <c r="AH211" s="140"/>
      <c r="AI211" s="140"/>
      <c r="AJ211" s="140"/>
      <c r="AK211" s="140"/>
      <c r="AL211" s="141"/>
    </row>
    <row r="212" spans="1:38" ht="12.75">
      <c r="A212" s="17">
        <v>9</v>
      </c>
      <c r="B212" s="132">
        <f>G100+B210</f>
        <v>786925.9709999999</v>
      </c>
      <c r="C212" s="133"/>
      <c r="D212" s="132">
        <f>(B212-B210)/100*22</f>
        <v>19689.671319999987</v>
      </c>
      <c r="E212" s="132"/>
      <c r="F212" s="133"/>
      <c r="G212" s="133"/>
      <c r="H212" s="132">
        <f>(B212-B210)/100*0.4</f>
        <v>357.9940239999998</v>
      </c>
      <c r="I212" s="132"/>
      <c r="J212" s="132">
        <f>(B212-B210)/100*2.9</f>
        <v>2595.456673999998</v>
      </c>
      <c r="K212" s="132"/>
      <c r="L212" s="132"/>
      <c r="M212" s="132">
        <f>(B212-B210)/100*5.1</f>
        <v>4564.423805999997</v>
      </c>
      <c r="N212" s="132"/>
      <c r="O212" s="132"/>
      <c r="P212" s="137">
        <f>M212+J212+H212+D212</f>
        <v>27207.545823999983</v>
      </c>
      <c r="Q212" s="138"/>
      <c r="R212" s="132">
        <f>R210+P212</f>
        <v>239225.49518399997</v>
      </c>
      <c r="S212" s="187"/>
      <c r="T212" s="17">
        <v>9</v>
      </c>
      <c r="U212" s="132">
        <f>G100</f>
        <v>89498.506</v>
      </c>
      <c r="V212" s="133"/>
      <c r="W212" s="132">
        <f>U212/100*22</f>
        <v>19689.67132</v>
      </c>
      <c r="X212" s="132"/>
      <c r="Y212" s="133"/>
      <c r="Z212" s="133"/>
      <c r="AA212" s="132">
        <f>U212/100*0.4</f>
        <v>357.994024</v>
      </c>
      <c r="AB212" s="132"/>
      <c r="AC212" s="132">
        <f>U212/100*2.9</f>
        <v>2595.456674</v>
      </c>
      <c r="AD212" s="132"/>
      <c r="AE212" s="132"/>
      <c r="AF212" s="132">
        <f>U212/100*5.1</f>
        <v>4564.423806</v>
      </c>
      <c r="AG212" s="132"/>
      <c r="AH212" s="132"/>
      <c r="AI212" s="137">
        <f>AF212+AC212+AA212+W212</f>
        <v>27207.545824</v>
      </c>
      <c r="AJ212" s="138"/>
      <c r="AK212" s="132">
        <f>AI212</f>
        <v>27207.545824</v>
      </c>
      <c r="AL212" s="133"/>
    </row>
    <row r="213" spans="1:38" ht="12.75">
      <c r="A213" s="13">
        <v>10</v>
      </c>
      <c r="B213" s="130">
        <f>H100+B212</f>
        <v>894985.0599999999</v>
      </c>
      <c r="C213" s="115"/>
      <c r="D213" s="130">
        <f>(B213-B212)/100*22</f>
        <v>23772.99958000001</v>
      </c>
      <c r="E213" s="130"/>
      <c r="F213" s="115"/>
      <c r="G213" s="115"/>
      <c r="H213" s="130">
        <f>(B213-B212)/100*0.4</f>
        <v>432.23635600000017</v>
      </c>
      <c r="I213" s="130"/>
      <c r="J213" s="130">
        <f>(B213-B212)/100*2.9</f>
        <v>3133.713581000001</v>
      </c>
      <c r="K213" s="130"/>
      <c r="L213" s="130"/>
      <c r="M213" s="130">
        <f>(B213-B212)/100*5.1</f>
        <v>5511.013539000001</v>
      </c>
      <c r="N213" s="130"/>
      <c r="O213" s="130"/>
      <c r="P213" s="114">
        <f>M213+J213+H213+D213</f>
        <v>32849.963056000015</v>
      </c>
      <c r="Q213" s="126"/>
      <c r="R213" s="130">
        <f>R212+P213</f>
        <v>272075.45824</v>
      </c>
      <c r="S213" s="152"/>
      <c r="T213" s="13">
        <v>10</v>
      </c>
      <c r="U213" s="130">
        <f>H100+U212</f>
        <v>197557.595</v>
      </c>
      <c r="V213" s="115"/>
      <c r="W213" s="130">
        <f>(U213-U212)/100*22</f>
        <v>23772.999580000003</v>
      </c>
      <c r="X213" s="130"/>
      <c r="Y213" s="115"/>
      <c r="Z213" s="115"/>
      <c r="AA213" s="130">
        <f>(U213-U212)/100*0.4</f>
        <v>432.2363560000001</v>
      </c>
      <c r="AB213" s="130"/>
      <c r="AC213" s="130">
        <f>(U213-U212)/100*2.9</f>
        <v>3133.7135810000004</v>
      </c>
      <c r="AD213" s="130"/>
      <c r="AE213" s="130"/>
      <c r="AF213" s="130">
        <f>(U213-U212)/100*5.1</f>
        <v>5511.0135390000005</v>
      </c>
      <c r="AG213" s="130"/>
      <c r="AH213" s="130"/>
      <c r="AI213" s="114">
        <f>AF213+AC213+AA213+W213</f>
        <v>32849.96305600001</v>
      </c>
      <c r="AJ213" s="126"/>
      <c r="AK213" s="130">
        <f>AK212+AI213</f>
        <v>60057.50888000001</v>
      </c>
      <c r="AL213" s="115"/>
    </row>
    <row r="214" spans="1:38" ht="12.75">
      <c r="A214" s="13">
        <v>11</v>
      </c>
      <c r="B214" s="130">
        <f>I100+B213</f>
        <v>1021604.732</v>
      </c>
      <c r="C214" s="115"/>
      <c r="D214" s="130">
        <f>(B214-B213)/100*22</f>
        <v>27856.32784</v>
      </c>
      <c r="E214" s="130"/>
      <c r="F214" s="130"/>
      <c r="G214" s="130"/>
      <c r="H214" s="130">
        <f>(B214-B213)/100*0.4</f>
        <v>506.4786880000001</v>
      </c>
      <c r="I214" s="130"/>
      <c r="J214" s="130">
        <f>(912000-B213)/100*2.9</f>
        <v>493.4332600000018</v>
      </c>
      <c r="K214" s="130"/>
      <c r="L214" s="130"/>
      <c r="M214" s="130">
        <f>(B214-B213)/100*5.1</f>
        <v>6457.603272</v>
      </c>
      <c r="N214" s="130"/>
      <c r="O214" s="130"/>
      <c r="P214" s="114">
        <f>M214+J214+H214+D214</f>
        <v>35313.84306000001</v>
      </c>
      <c r="Q214" s="126"/>
      <c r="R214" s="130">
        <f>R213+P214</f>
        <v>307389.3013</v>
      </c>
      <c r="S214" s="152"/>
      <c r="T214" s="13">
        <v>11</v>
      </c>
      <c r="U214" s="130">
        <f>I100+U213</f>
        <v>324177.267</v>
      </c>
      <c r="V214" s="115"/>
      <c r="W214" s="130">
        <f>(U214-U213)/100*22</f>
        <v>27856.327839999998</v>
      </c>
      <c r="X214" s="130"/>
      <c r="Y214" s="130"/>
      <c r="Z214" s="130"/>
      <c r="AA214" s="130">
        <f>(U214-U213)/100*0.4</f>
        <v>506.478688</v>
      </c>
      <c r="AB214" s="130"/>
      <c r="AC214" s="130">
        <f>(U214-U213)/100*2.9</f>
        <v>3671.9704879999995</v>
      </c>
      <c r="AD214" s="130"/>
      <c r="AE214" s="130"/>
      <c r="AF214" s="130">
        <f>(U214-U213)/100*5.1</f>
        <v>6457.603271999999</v>
      </c>
      <c r="AG214" s="130"/>
      <c r="AH214" s="130"/>
      <c r="AI214" s="114">
        <f>AF214+AC214+AA214+W214</f>
        <v>38492.380288</v>
      </c>
      <c r="AJ214" s="126"/>
      <c r="AK214" s="130">
        <f>AK213+AI214</f>
        <v>98549.88916800001</v>
      </c>
      <c r="AL214" s="115"/>
    </row>
    <row r="215" spans="1:38" ht="12.75">
      <c r="A215" s="18">
        <v>12</v>
      </c>
      <c r="B215" s="144">
        <f>J100+B214</f>
        <v>1166784.987</v>
      </c>
      <c r="C215" s="145"/>
      <c r="D215" s="130">
        <f>(B215-B214)/100*22</f>
        <v>31939.656100000004</v>
      </c>
      <c r="E215" s="130"/>
      <c r="F215" s="144"/>
      <c r="G215" s="144"/>
      <c r="H215" s="144">
        <f>(B215-B214)/100*0.4</f>
        <v>580.7210200000001</v>
      </c>
      <c r="I215" s="144"/>
      <c r="J215" s="144"/>
      <c r="K215" s="144"/>
      <c r="L215" s="144"/>
      <c r="M215" s="144">
        <f>(B215-B214)/100*5.1</f>
        <v>7404.193005</v>
      </c>
      <c r="N215" s="144"/>
      <c r="O215" s="144"/>
      <c r="P215" s="142">
        <f>M215+H215+F21+D215</f>
        <v>39924.570125000006</v>
      </c>
      <c r="Q215" s="143"/>
      <c r="R215" s="144">
        <f>R214+P215</f>
        <v>347313.871425</v>
      </c>
      <c r="S215" s="156"/>
      <c r="T215" s="13">
        <v>12</v>
      </c>
      <c r="U215" s="130">
        <f>J100+U214</f>
        <v>469357.522</v>
      </c>
      <c r="V215" s="115"/>
      <c r="W215" s="130">
        <f>(U215-U214)/100*22</f>
        <v>31939.656100000004</v>
      </c>
      <c r="X215" s="130"/>
      <c r="Y215" s="130"/>
      <c r="Z215" s="130"/>
      <c r="AA215" s="130">
        <f>(U215-U214)/100*0.4</f>
        <v>580.7210200000001</v>
      </c>
      <c r="AB215" s="130"/>
      <c r="AC215" s="130">
        <f>(U215-U214)/100*2.9</f>
        <v>4210.227395</v>
      </c>
      <c r="AD215" s="130"/>
      <c r="AE215" s="130"/>
      <c r="AF215" s="130">
        <f>(U215-U214)/100*5.1</f>
        <v>7404.193005</v>
      </c>
      <c r="AG215" s="130"/>
      <c r="AH215" s="130"/>
      <c r="AI215" s="114">
        <f>AF215+AC215+AA215+W215</f>
        <v>44134.79752000001</v>
      </c>
      <c r="AJ215" s="126"/>
      <c r="AK215" s="130">
        <f>AK214+AI215</f>
        <v>142684.68668800002</v>
      </c>
      <c r="AL215" s="115"/>
    </row>
    <row r="216" spans="1:19" ht="12.75">
      <c r="A216" s="115" t="s">
        <v>90</v>
      </c>
      <c r="B216" s="115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</row>
    <row r="217" spans="1:19" ht="12.75">
      <c r="A217" s="13">
        <v>1</v>
      </c>
      <c r="B217" s="130">
        <f>K100</f>
        <v>145180.255</v>
      </c>
      <c r="C217" s="115"/>
      <c r="D217" s="130">
        <f>B217/100*22</f>
        <v>31939.656100000004</v>
      </c>
      <c r="E217" s="130"/>
      <c r="F217" s="115"/>
      <c r="G217" s="115"/>
      <c r="H217" s="130">
        <f>B217/100*0.4</f>
        <v>580.7210200000001</v>
      </c>
      <c r="I217" s="130"/>
      <c r="J217" s="130">
        <f>B217/100*2.9</f>
        <v>4210.227395</v>
      </c>
      <c r="K217" s="130"/>
      <c r="L217" s="130"/>
      <c r="M217" s="130">
        <f>B217/100*5.1</f>
        <v>7404.193005</v>
      </c>
      <c r="N217" s="130"/>
      <c r="O217" s="130"/>
      <c r="P217" s="114">
        <f aca="true" t="shared" si="90" ref="P217:P223">M217+J217+H217+D217</f>
        <v>44134.79752000001</v>
      </c>
      <c r="Q217" s="126"/>
      <c r="R217" s="130">
        <f>P217</f>
        <v>44134.79752000001</v>
      </c>
      <c r="S217" s="115"/>
    </row>
    <row r="218" spans="1:19" ht="12.75">
      <c r="A218" s="13">
        <v>2</v>
      </c>
      <c r="B218" s="130">
        <f>L100+B217</f>
        <v>290360.51</v>
      </c>
      <c r="C218" s="115"/>
      <c r="D218" s="130">
        <f aca="true" t="shared" si="91" ref="D218:D224">(B218-B217)/100*22</f>
        <v>31939.656100000004</v>
      </c>
      <c r="E218" s="130"/>
      <c r="F218" s="115"/>
      <c r="G218" s="115"/>
      <c r="H218" s="130">
        <f aca="true" t="shared" si="92" ref="H218:H224">(B218-B217)/100*0.4</f>
        <v>580.7210200000001</v>
      </c>
      <c r="I218" s="130"/>
      <c r="J218" s="130">
        <f aca="true" t="shared" si="93" ref="J218:J224">(B218-B217)/100*2.9</f>
        <v>4210.227395</v>
      </c>
      <c r="K218" s="130"/>
      <c r="L218" s="130"/>
      <c r="M218" s="130">
        <f aca="true" t="shared" si="94" ref="M218:M224">(B218-B217)/100*5.1</f>
        <v>7404.193005</v>
      </c>
      <c r="N218" s="130"/>
      <c r="O218" s="130"/>
      <c r="P218" s="114">
        <f t="shared" si="90"/>
        <v>44134.79752000001</v>
      </c>
      <c r="Q218" s="126"/>
      <c r="R218" s="130">
        <f aca="true" t="shared" si="95" ref="R218:R224">P218+R217</f>
        <v>88269.59504000001</v>
      </c>
      <c r="S218" s="115"/>
    </row>
    <row r="219" spans="1:19" ht="12.75">
      <c r="A219" s="13">
        <v>3</v>
      </c>
      <c r="B219" s="130">
        <f>M100+B218</f>
        <v>410793.321</v>
      </c>
      <c r="C219" s="115"/>
      <c r="D219" s="130">
        <f t="shared" si="91"/>
        <v>26495.218419999997</v>
      </c>
      <c r="E219" s="130"/>
      <c r="F219" s="115"/>
      <c r="G219" s="115"/>
      <c r="H219" s="130">
        <f t="shared" si="92"/>
        <v>481.731244</v>
      </c>
      <c r="I219" s="130"/>
      <c r="J219" s="130">
        <f t="shared" si="93"/>
        <v>3492.5515189999996</v>
      </c>
      <c r="K219" s="130"/>
      <c r="L219" s="130"/>
      <c r="M219" s="130">
        <f t="shared" si="94"/>
        <v>6142.073360999999</v>
      </c>
      <c r="N219" s="130"/>
      <c r="O219" s="130"/>
      <c r="P219" s="114">
        <f t="shared" si="90"/>
        <v>36611.574543999996</v>
      </c>
      <c r="Q219" s="126"/>
      <c r="R219" s="130">
        <f t="shared" si="95"/>
        <v>124881.16958400002</v>
      </c>
      <c r="S219" s="115"/>
    </row>
    <row r="220" spans="1:19" ht="12.75">
      <c r="A220" s="13">
        <v>4</v>
      </c>
      <c r="B220" s="130">
        <f>N100+B219</f>
        <v>534319.5625</v>
      </c>
      <c r="C220" s="115"/>
      <c r="D220" s="130">
        <f t="shared" si="91"/>
        <v>27175.77313</v>
      </c>
      <c r="E220" s="130"/>
      <c r="F220" s="115"/>
      <c r="G220" s="115"/>
      <c r="H220" s="130">
        <f t="shared" si="92"/>
        <v>494.1049660000001</v>
      </c>
      <c r="I220" s="130"/>
      <c r="J220" s="130">
        <f t="shared" si="93"/>
        <v>3582.2610035000002</v>
      </c>
      <c r="K220" s="130"/>
      <c r="L220" s="130"/>
      <c r="M220" s="130">
        <f t="shared" si="94"/>
        <v>6299.8383165000005</v>
      </c>
      <c r="N220" s="130"/>
      <c r="O220" s="130"/>
      <c r="P220" s="114">
        <f t="shared" si="90"/>
        <v>37551.977416</v>
      </c>
      <c r="Q220" s="126"/>
      <c r="R220" s="130">
        <f t="shared" si="95"/>
        <v>162433.14700000003</v>
      </c>
      <c r="S220" s="115"/>
    </row>
    <row r="221" spans="1:19" ht="12.75">
      <c r="A221" s="13">
        <v>5</v>
      </c>
      <c r="B221" s="130">
        <f>O100+B220</f>
        <v>586696.9025</v>
      </c>
      <c r="C221" s="115"/>
      <c r="D221" s="130">
        <f t="shared" si="91"/>
        <v>11523.014799999994</v>
      </c>
      <c r="E221" s="130"/>
      <c r="F221" s="115"/>
      <c r="G221" s="115"/>
      <c r="H221" s="130">
        <f t="shared" si="92"/>
        <v>209.5093599999999</v>
      </c>
      <c r="I221" s="130"/>
      <c r="J221" s="130">
        <f t="shared" si="93"/>
        <v>1518.942859999999</v>
      </c>
      <c r="K221" s="130"/>
      <c r="L221" s="130"/>
      <c r="M221" s="130">
        <f t="shared" si="94"/>
        <v>2671.2443399999984</v>
      </c>
      <c r="N221" s="130"/>
      <c r="O221" s="130"/>
      <c r="P221" s="114">
        <f t="shared" si="90"/>
        <v>15922.71135999999</v>
      </c>
      <c r="Q221" s="126"/>
      <c r="R221" s="130">
        <f t="shared" si="95"/>
        <v>178355.85836</v>
      </c>
      <c r="S221" s="115"/>
    </row>
    <row r="222" spans="1:19" ht="12.75">
      <c r="A222" s="13">
        <v>6</v>
      </c>
      <c r="B222" s="130">
        <f>P100+B221</f>
        <v>651447.9645</v>
      </c>
      <c r="C222" s="115"/>
      <c r="D222" s="130">
        <f t="shared" si="91"/>
        <v>14245.233640000008</v>
      </c>
      <c r="E222" s="130"/>
      <c r="F222" s="130"/>
      <c r="G222" s="130"/>
      <c r="H222" s="130">
        <f t="shared" si="92"/>
        <v>259.00424800000013</v>
      </c>
      <c r="I222" s="130"/>
      <c r="J222" s="130">
        <f t="shared" si="93"/>
        <v>1877.780798000001</v>
      </c>
      <c r="K222" s="130"/>
      <c r="L222" s="130"/>
      <c r="M222" s="130">
        <f t="shared" si="94"/>
        <v>3302.3041620000017</v>
      </c>
      <c r="N222" s="130"/>
      <c r="O222" s="130"/>
      <c r="P222" s="114">
        <f t="shared" si="90"/>
        <v>19684.32284800001</v>
      </c>
      <c r="Q222" s="126"/>
      <c r="R222" s="130">
        <f t="shared" si="95"/>
        <v>198040.18120800002</v>
      </c>
      <c r="S222" s="115"/>
    </row>
    <row r="223" spans="1:19" ht="12.75">
      <c r="A223" s="13">
        <v>7</v>
      </c>
      <c r="B223" s="130">
        <f>Q100+B222</f>
        <v>716199.0265</v>
      </c>
      <c r="C223" s="115"/>
      <c r="D223" s="130">
        <f t="shared" si="91"/>
        <v>14245.233640000008</v>
      </c>
      <c r="E223" s="130"/>
      <c r="F223" s="130"/>
      <c r="G223" s="130"/>
      <c r="H223" s="130">
        <f t="shared" si="92"/>
        <v>259.00424800000013</v>
      </c>
      <c r="I223" s="130"/>
      <c r="J223" s="130">
        <f t="shared" si="93"/>
        <v>1877.780798000001</v>
      </c>
      <c r="K223" s="130"/>
      <c r="L223" s="130"/>
      <c r="M223" s="130">
        <f t="shared" si="94"/>
        <v>3302.3041620000017</v>
      </c>
      <c r="N223" s="130"/>
      <c r="O223" s="130"/>
      <c r="P223" s="114">
        <f t="shared" si="90"/>
        <v>19684.32284800001</v>
      </c>
      <c r="Q223" s="126"/>
      <c r="R223" s="130">
        <f t="shared" si="95"/>
        <v>217724.50405600003</v>
      </c>
      <c r="S223" s="115"/>
    </row>
    <row r="224" spans="1:19" ht="12.75">
      <c r="A224" s="13">
        <v>8</v>
      </c>
      <c r="B224" s="130">
        <f>R100+B223</f>
        <v>799510.6715</v>
      </c>
      <c r="C224" s="115"/>
      <c r="D224" s="130">
        <f t="shared" si="91"/>
        <v>18328.561900000004</v>
      </c>
      <c r="E224" s="130"/>
      <c r="F224" s="130"/>
      <c r="G224" s="130"/>
      <c r="H224" s="130">
        <f t="shared" si="92"/>
        <v>333.2465800000001</v>
      </c>
      <c r="I224" s="130"/>
      <c r="J224" s="130">
        <f t="shared" si="93"/>
        <v>2416.0377050000006</v>
      </c>
      <c r="K224" s="130"/>
      <c r="L224" s="130"/>
      <c r="M224" s="130">
        <f t="shared" si="94"/>
        <v>4248.893895000001</v>
      </c>
      <c r="N224" s="130"/>
      <c r="O224" s="130"/>
      <c r="P224" s="114">
        <f>M224+J224+H224+D224</f>
        <v>25326.740080000007</v>
      </c>
      <c r="Q224" s="126"/>
      <c r="R224" s="130">
        <f t="shared" si="95"/>
        <v>243051.24413600005</v>
      </c>
      <c r="S224" s="115"/>
    </row>
    <row r="225" spans="1:19" ht="13.5" thickBot="1">
      <c r="A225" s="153" t="s">
        <v>93</v>
      </c>
      <c r="B225" s="154"/>
      <c r="C225" s="154"/>
      <c r="D225" s="154"/>
      <c r="E225" s="154"/>
      <c r="F225" s="154"/>
      <c r="G225" s="154"/>
      <c r="H225" s="154"/>
      <c r="I225" s="154"/>
      <c r="J225" s="154"/>
      <c r="K225" s="154"/>
      <c r="L225" s="154"/>
      <c r="M225" s="154"/>
      <c r="N225" s="154"/>
      <c r="O225" s="154"/>
      <c r="P225" s="154"/>
      <c r="Q225" s="154"/>
      <c r="R225" s="154"/>
      <c r="S225" s="155"/>
    </row>
    <row r="226" spans="1:19" ht="12.75">
      <c r="A226" s="17">
        <v>9</v>
      </c>
      <c r="B226" s="132">
        <f>G108+B224</f>
        <v>876635.4555</v>
      </c>
      <c r="C226" s="133"/>
      <c r="D226" s="132">
        <f>(B226-B224)/100*22</f>
        <v>16967.452479999996</v>
      </c>
      <c r="E226" s="132"/>
      <c r="F226" s="133"/>
      <c r="G226" s="133"/>
      <c r="H226" s="132">
        <f>(B226-B224)/100*0.4</f>
        <v>308.49913599999996</v>
      </c>
      <c r="I226" s="132"/>
      <c r="J226" s="132">
        <f>(B226-B224)/100*2.9</f>
        <v>2236.6187359999994</v>
      </c>
      <c r="K226" s="132"/>
      <c r="L226" s="132"/>
      <c r="M226" s="132">
        <f>(B226-B224)/100*5.1</f>
        <v>3933.363983999999</v>
      </c>
      <c r="N226" s="132"/>
      <c r="O226" s="132"/>
      <c r="P226" s="137">
        <f>M226+J226+H226+D226</f>
        <v>23445.934335999995</v>
      </c>
      <c r="Q226" s="138"/>
      <c r="R226" s="132">
        <f>P226+R224</f>
        <v>266497.17847200006</v>
      </c>
      <c r="S226" s="133"/>
    </row>
    <row r="227" spans="1:19" ht="12.75">
      <c r="A227" s="13">
        <v>10</v>
      </c>
      <c r="B227" s="130">
        <f>H108+B226</f>
        <v>984694.5445000001</v>
      </c>
      <c r="C227" s="115"/>
      <c r="D227" s="130">
        <f>(B227-B226)/100*22</f>
        <v>23772.99958000001</v>
      </c>
      <c r="E227" s="130"/>
      <c r="F227" s="130"/>
      <c r="G227" s="130"/>
      <c r="H227" s="130">
        <f>(B227-B226)/100*0.4</f>
        <v>432.23635600000017</v>
      </c>
      <c r="I227" s="130"/>
      <c r="J227" s="132">
        <f>(912000-B226)/100*2.9</f>
        <v>1025.5717904999988</v>
      </c>
      <c r="K227" s="132"/>
      <c r="L227" s="132"/>
      <c r="M227" s="130">
        <f>(B227-B226)/100*5.1</f>
        <v>5511.013539000001</v>
      </c>
      <c r="N227" s="130"/>
      <c r="O227" s="130"/>
      <c r="P227" s="114">
        <f>M227+J227+H227+D227</f>
        <v>30741.82126550001</v>
      </c>
      <c r="Q227" s="126"/>
      <c r="R227" s="130">
        <f>R226+P227</f>
        <v>297238.9997375001</v>
      </c>
      <c r="S227" s="115"/>
    </row>
    <row r="228" spans="1:19" ht="12.75">
      <c r="A228" s="13">
        <v>11</v>
      </c>
      <c r="B228" s="130">
        <f>I108+B227</f>
        <v>1111314.2165</v>
      </c>
      <c r="C228" s="115"/>
      <c r="D228" s="130">
        <f>(B228-B227)/100*22</f>
        <v>27856.32784</v>
      </c>
      <c r="E228" s="130"/>
      <c r="F228" s="130"/>
      <c r="G228" s="130"/>
      <c r="H228" s="130">
        <f>(B228-B227)/100*0.4</f>
        <v>506.4786880000001</v>
      </c>
      <c r="I228" s="130"/>
      <c r="J228" s="130"/>
      <c r="K228" s="130"/>
      <c r="L228" s="130"/>
      <c r="M228" s="130">
        <f>(B228-B227)/100*5.1</f>
        <v>6457.603272</v>
      </c>
      <c r="N228" s="130"/>
      <c r="O228" s="130"/>
      <c r="P228" s="114">
        <f>M228+H228+D228</f>
        <v>34820.4098</v>
      </c>
      <c r="Q228" s="126"/>
      <c r="R228" s="130">
        <f>R227+P228</f>
        <v>332059.4095375001</v>
      </c>
      <c r="S228" s="115"/>
    </row>
    <row r="229" spans="1:19" ht="13.5" thickBot="1">
      <c r="A229" s="18">
        <v>12</v>
      </c>
      <c r="B229" s="144">
        <f>J108+B228</f>
        <v>1256494.4715</v>
      </c>
      <c r="C229" s="145"/>
      <c r="D229" s="130">
        <f>(B229-B228)/100*22</f>
        <v>31939.65609999998</v>
      </c>
      <c r="E229" s="130"/>
      <c r="F229" s="130"/>
      <c r="G229" s="130"/>
      <c r="H229" s="130">
        <f>(B229-B228)/100*0.4</f>
        <v>580.7210199999996</v>
      </c>
      <c r="I229" s="130"/>
      <c r="J229" s="144"/>
      <c r="K229" s="144"/>
      <c r="L229" s="144"/>
      <c r="M229" s="130">
        <f>(B229-B228)/100*5.1</f>
        <v>7404.193004999995</v>
      </c>
      <c r="N229" s="130"/>
      <c r="O229" s="130"/>
      <c r="P229" s="142">
        <f>M229+H229+F229+D229</f>
        <v>39924.57012499997</v>
      </c>
      <c r="Q229" s="143"/>
      <c r="R229" s="144">
        <f>R228+P229</f>
        <v>371983.9796625001</v>
      </c>
      <c r="S229" s="145"/>
    </row>
    <row r="230" spans="1:19" ht="13.5" thickBot="1">
      <c r="A230" s="134" t="s">
        <v>90</v>
      </c>
      <c r="B230" s="135"/>
      <c r="C230" s="135"/>
      <c r="D230" s="135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136"/>
    </row>
    <row r="231" spans="1:19" ht="12.75">
      <c r="A231" s="17">
        <v>1</v>
      </c>
      <c r="B231" s="132">
        <f>K108</f>
        <v>145180.255</v>
      </c>
      <c r="C231" s="133"/>
      <c r="D231" s="132">
        <f>B231/100*22</f>
        <v>31939.656100000004</v>
      </c>
      <c r="E231" s="132"/>
      <c r="F231" s="133"/>
      <c r="G231" s="133"/>
      <c r="H231" s="132">
        <f>B231/100*0.4</f>
        <v>580.7210200000001</v>
      </c>
      <c r="I231" s="132"/>
      <c r="J231" s="132">
        <f>B231/100*2.9</f>
        <v>4210.227395</v>
      </c>
      <c r="K231" s="132"/>
      <c r="L231" s="132"/>
      <c r="M231" s="132">
        <f>B231/100*5.1</f>
        <v>7404.193005</v>
      </c>
      <c r="N231" s="132"/>
      <c r="O231" s="132"/>
      <c r="P231" s="137">
        <f aca="true" t="shared" si="96" ref="P231:P238">M231+J231+H231+D231</f>
        <v>44134.79752000001</v>
      </c>
      <c r="Q231" s="138"/>
      <c r="R231" s="132">
        <f>P231</f>
        <v>44134.79752000001</v>
      </c>
      <c r="S231" s="133"/>
    </row>
    <row r="232" spans="1:19" ht="12.75">
      <c r="A232" s="13">
        <v>2</v>
      </c>
      <c r="B232" s="130">
        <f>L108+B231</f>
        <v>290360.51</v>
      </c>
      <c r="C232" s="115"/>
      <c r="D232" s="130">
        <f aca="true" t="shared" si="97" ref="D232:D238">(B232-B231)/100*22</f>
        <v>31939.656100000004</v>
      </c>
      <c r="E232" s="130"/>
      <c r="F232" s="115"/>
      <c r="G232" s="115"/>
      <c r="H232" s="130">
        <f aca="true" t="shared" si="98" ref="H232:H238">(B232-B231)/100*0.4</f>
        <v>580.7210200000001</v>
      </c>
      <c r="I232" s="130"/>
      <c r="J232" s="130">
        <f aca="true" t="shared" si="99" ref="J232:J238">(B232-B231)/100*2.9</f>
        <v>4210.227395</v>
      </c>
      <c r="K232" s="130"/>
      <c r="L232" s="130"/>
      <c r="M232" s="130">
        <f aca="true" t="shared" si="100" ref="M232:M238">(B232-B231)/100*5.1</f>
        <v>7404.193005</v>
      </c>
      <c r="N232" s="130"/>
      <c r="O232" s="130"/>
      <c r="P232" s="114">
        <f t="shared" si="96"/>
        <v>44134.79752000001</v>
      </c>
      <c r="Q232" s="126"/>
      <c r="R232" s="130">
        <f aca="true" t="shared" si="101" ref="R232:R238">R231+P232</f>
        <v>88269.59504000001</v>
      </c>
      <c r="S232" s="115"/>
    </row>
    <row r="233" spans="1:19" ht="12.75">
      <c r="A233" s="13">
        <v>3</v>
      </c>
      <c r="B233" s="130">
        <f>M108+B232</f>
        <v>413886.7515</v>
      </c>
      <c r="C233" s="115"/>
      <c r="D233" s="130">
        <f t="shared" si="97"/>
        <v>27175.77313</v>
      </c>
      <c r="E233" s="130"/>
      <c r="F233" s="115"/>
      <c r="G233" s="115"/>
      <c r="H233" s="130">
        <f t="shared" si="98"/>
        <v>494.1049660000001</v>
      </c>
      <c r="I233" s="130"/>
      <c r="J233" s="130">
        <f t="shared" si="99"/>
        <v>3582.2610035000002</v>
      </c>
      <c r="K233" s="130"/>
      <c r="L233" s="130"/>
      <c r="M233" s="130">
        <f t="shared" si="100"/>
        <v>6299.8383165000005</v>
      </c>
      <c r="N233" s="130"/>
      <c r="O233" s="130"/>
      <c r="P233" s="114">
        <f t="shared" si="96"/>
        <v>37551.977416</v>
      </c>
      <c r="Q233" s="126"/>
      <c r="R233" s="130">
        <f t="shared" si="101"/>
        <v>125821.57245600002</v>
      </c>
      <c r="S233" s="115"/>
    </row>
    <row r="234" spans="1:19" ht="12.75">
      <c r="A234" s="13">
        <v>4</v>
      </c>
      <c r="B234" s="130">
        <f>N108+B233</f>
        <v>537412.993</v>
      </c>
      <c r="C234" s="115"/>
      <c r="D234" s="130">
        <f t="shared" si="97"/>
        <v>27175.77313</v>
      </c>
      <c r="E234" s="130"/>
      <c r="F234" s="115"/>
      <c r="G234" s="115"/>
      <c r="H234" s="130">
        <f t="shared" si="98"/>
        <v>494.1049660000001</v>
      </c>
      <c r="I234" s="130"/>
      <c r="J234" s="130">
        <f t="shared" si="99"/>
        <v>3582.2610035000002</v>
      </c>
      <c r="K234" s="130"/>
      <c r="L234" s="130"/>
      <c r="M234" s="130">
        <f t="shared" si="100"/>
        <v>6299.8383165000005</v>
      </c>
      <c r="N234" s="130"/>
      <c r="O234" s="130"/>
      <c r="P234" s="114">
        <f t="shared" si="96"/>
        <v>37551.977416</v>
      </c>
      <c r="Q234" s="126"/>
      <c r="R234" s="130">
        <f t="shared" si="101"/>
        <v>163373.54987200003</v>
      </c>
      <c r="S234" s="115"/>
    </row>
    <row r="235" spans="1:19" ht="12.75">
      <c r="A235" s="13">
        <v>5</v>
      </c>
      <c r="B235" s="130">
        <f>O108+B234</f>
        <v>589790.333</v>
      </c>
      <c r="C235" s="115"/>
      <c r="D235" s="130">
        <f t="shared" si="97"/>
        <v>11523.014799999994</v>
      </c>
      <c r="E235" s="130"/>
      <c r="F235" s="115"/>
      <c r="G235" s="115"/>
      <c r="H235" s="130">
        <f t="shared" si="98"/>
        <v>209.5093599999999</v>
      </c>
      <c r="I235" s="130"/>
      <c r="J235" s="130">
        <f t="shared" si="99"/>
        <v>1518.942859999999</v>
      </c>
      <c r="K235" s="130"/>
      <c r="L235" s="130"/>
      <c r="M235" s="130">
        <f t="shared" si="100"/>
        <v>2671.2443399999984</v>
      </c>
      <c r="N235" s="130"/>
      <c r="O235" s="130"/>
      <c r="P235" s="114">
        <f t="shared" si="96"/>
        <v>15922.71135999999</v>
      </c>
      <c r="Q235" s="126"/>
      <c r="R235" s="130">
        <f t="shared" si="101"/>
        <v>179296.26123200002</v>
      </c>
      <c r="S235" s="115"/>
    </row>
    <row r="236" spans="1:19" ht="12.75">
      <c r="A236" s="13">
        <v>6</v>
      </c>
      <c r="B236" s="130">
        <f>P108+B235</f>
        <v>651447.9645</v>
      </c>
      <c r="C236" s="115"/>
      <c r="D236" s="130">
        <f t="shared" si="97"/>
        <v>13564.678930000004</v>
      </c>
      <c r="E236" s="130"/>
      <c r="F236" s="130"/>
      <c r="G236" s="130"/>
      <c r="H236" s="130">
        <f t="shared" si="98"/>
        <v>246.63052600000006</v>
      </c>
      <c r="I236" s="130"/>
      <c r="J236" s="130">
        <f t="shared" si="99"/>
        <v>1788.0713135000003</v>
      </c>
      <c r="K236" s="130"/>
      <c r="L236" s="130"/>
      <c r="M236" s="130">
        <f t="shared" si="100"/>
        <v>3144.5392065000005</v>
      </c>
      <c r="N236" s="130"/>
      <c r="O236" s="130"/>
      <c r="P236" s="114">
        <f t="shared" si="96"/>
        <v>18743.919976000005</v>
      </c>
      <c r="Q236" s="126"/>
      <c r="R236" s="130">
        <f t="shared" si="101"/>
        <v>198040.18120800002</v>
      </c>
      <c r="S236" s="115"/>
    </row>
    <row r="237" spans="1:19" ht="12.75">
      <c r="A237" s="13">
        <v>7</v>
      </c>
      <c r="B237" s="130">
        <f>Q108+B236</f>
        <v>716199.0265</v>
      </c>
      <c r="C237" s="115"/>
      <c r="D237" s="130">
        <f t="shared" si="97"/>
        <v>14245.233640000008</v>
      </c>
      <c r="E237" s="130"/>
      <c r="F237" s="130"/>
      <c r="G237" s="130"/>
      <c r="H237" s="130">
        <f t="shared" si="98"/>
        <v>259.00424800000013</v>
      </c>
      <c r="I237" s="130"/>
      <c r="J237" s="130">
        <f t="shared" si="99"/>
        <v>1877.780798000001</v>
      </c>
      <c r="K237" s="130"/>
      <c r="L237" s="130"/>
      <c r="M237" s="130">
        <f t="shared" si="100"/>
        <v>3302.3041620000017</v>
      </c>
      <c r="N237" s="130"/>
      <c r="O237" s="130"/>
      <c r="P237" s="114">
        <f t="shared" si="96"/>
        <v>19684.32284800001</v>
      </c>
      <c r="Q237" s="126"/>
      <c r="R237" s="130">
        <f t="shared" si="101"/>
        <v>217724.50405600003</v>
      </c>
      <c r="S237" s="115"/>
    </row>
    <row r="238" spans="1:19" ht="13.5" thickBot="1">
      <c r="A238" s="18">
        <v>8</v>
      </c>
      <c r="B238" s="144">
        <f>R108+B237</f>
        <v>802604.1020000001</v>
      </c>
      <c r="C238" s="145"/>
      <c r="D238" s="130">
        <f t="shared" si="97"/>
        <v>19009.11661000001</v>
      </c>
      <c r="E238" s="130"/>
      <c r="F238" s="144"/>
      <c r="G238" s="144"/>
      <c r="H238" s="130">
        <f t="shared" si="98"/>
        <v>345.62030200000015</v>
      </c>
      <c r="I238" s="130"/>
      <c r="J238" s="130">
        <f t="shared" si="99"/>
        <v>2505.747189500001</v>
      </c>
      <c r="K238" s="130"/>
      <c r="L238" s="130"/>
      <c r="M238" s="130">
        <f t="shared" si="100"/>
        <v>4406.658850500002</v>
      </c>
      <c r="N238" s="130"/>
      <c r="O238" s="130"/>
      <c r="P238" s="142">
        <f t="shared" si="96"/>
        <v>26267.14295200001</v>
      </c>
      <c r="Q238" s="143"/>
      <c r="R238" s="144">
        <f t="shared" si="101"/>
        <v>243991.64700800006</v>
      </c>
      <c r="S238" s="145"/>
    </row>
    <row r="239" spans="1:19" ht="13.5" thickBot="1">
      <c r="A239" s="134" t="s">
        <v>94</v>
      </c>
      <c r="B239" s="135"/>
      <c r="C239" s="135"/>
      <c r="D239" s="135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136"/>
    </row>
    <row r="240" spans="1:19" ht="12.75">
      <c r="A240" s="17">
        <v>9</v>
      </c>
      <c r="B240" s="132">
        <f>G116+B238</f>
        <v>876635.4555</v>
      </c>
      <c r="C240" s="133"/>
      <c r="D240" s="132">
        <f>(B240-B238)/100*22</f>
        <v>16286.897769999992</v>
      </c>
      <c r="E240" s="132"/>
      <c r="F240" s="133"/>
      <c r="G240" s="133"/>
      <c r="H240" s="132">
        <f>(B240-B238)/100*0.4</f>
        <v>296.12541399999986</v>
      </c>
      <c r="I240" s="132"/>
      <c r="J240" s="132">
        <f>(B240-B238)/100*2.9</f>
        <v>2146.909251499999</v>
      </c>
      <c r="K240" s="132"/>
      <c r="L240" s="132"/>
      <c r="M240" s="132">
        <f>(B240-B238)/100*5.1</f>
        <v>3775.599028499998</v>
      </c>
      <c r="N240" s="132"/>
      <c r="O240" s="132"/>
      <c r="P240" s="137">
        <f>M240+J240+H240+D240</f>
        <v>22505.53146399999</v>
      </c>
      <c r="Q240" s="138"/>
      <c r="R240" s="132">
        <f>P240+R238</f>
        <v>266497.17847200006</v>
      </c>
      <c r="S240" s="133"/>
    </row>
    <row r="241" spans="1:19" ht="12.75">
      <c r="A241" s="13">
        <v>10</v>
      </c>
      <c r="B241" s="130">
        <f>H116+B240</f>
        <v>984694.5445000001</v>
      </c>
      <c r="C241" s="115"/>
      <c r="D241" s="130">
        <f>(B241-B240)/100*22</f>
        <v>23772.99958000001</v>
      </c>
      <c r="E241" s="130"/>
      <c r="F241" s="130"/>
      <c r="G241" s="130"/>
      <c r="H241" s="130">
        <f>(B241-B240)/100*0.4</f>
        <v>432.23635600000017</v>
      </c>
      <c r="I241" s="130"/>
      <c r="J241" s="132">
        <f>(912000-B240)/100*2.9</f>
        <v>1025.5717904999988</v>
      </c>
      <c r="K241" s="132"/>
      <c r="L241" s="132"/>
      <c r="M241" s="130">
        <f>(B241-B240)/100*5.1</f>
        <v>5511.013539000001</v>
      </c>
      <c r="N241" s="130"/>
      <c r="O241" s="130"/>
      <c r="P241" s="114">
        <f>M241+J241+H241+D241</f>
        <v>30741.82126550001</v>
      </c>
      <c r="Q241" s="126"/>
      <c r="R241" s="130">
        <f>R240+P241</f>
        <v>297238.9997375001</v>
      </c>
      <c r="S241" s="115"/>
    </row>
    <row r="242" spans="1:19" ht="12.75">
      <c r="A242" s="13">
        <v>11</v>
      </c>
      <c r="B242" s="130">
        <f>I116+B241</f>
        <v>1111314.2165</v>
      </c>
      <c r="C242" s="115"/>
      <c r="D242" s="130">
        <f>(B242-B241)/100*22</f>
        <v>27856.32784</v>
      </c>
      <c r="E242" s="130"/>
      <c r="F242" s="130"/>
      <c r="G242" s="130"/>
      <c r="H242" s="130">
        <f>(B242-B241)/100*0.4</f>
        <v>506.4786880000001</v>
      </c>
      <c r="I242" s="130"/>
      <c r="J242" s="130"/>
      <c r="K242" s="130"/>
      <c r="L242" s="130"/>
      <c r="M242" s="130">
        <f>(B242-B241)/100*5.1</f>
        <v>6457.603272</v>
      </c>
      <c r="N242" s="130"/>
      <c r="O242" s="130"/>
      <c r="P242" s="114">
        <f>M242+H242+D242</f>
        <v>34820.4098</v>
      </c>
      <c r="Q242" s="126"/>
      <c r="R242" s="130">
        <f>R241+P242</f>
        <v>332059.4095375001</v>
      </c>
      <c r="S242" s="115"/>
    </row>
    <row r="243" spans="1:19" ht="13.5" thickBot="1">
      <c r="A243" s="18">
        <v>12</v>
      </c>
      <c r="B243" s="144">
        <f>J116+B242</f>
        <v>1256494.4715</v>
      </c>
      <c r="C243" s="145"/>
      <c r="D243" s="130">
        <f>(B243-B242)/100*22</f>
        <v>31939.65609999998</v>
      </c>
      <c r="E243" s="130"/>
      <c r="F243" s="130"/>
      <c r="G243" s="130"/>
      <c r="H243" s="130">
        <f>(B243-B242)/100*0.4</f>
        <v>580.7210199999996</v>
      </c>
      <c r="I243" s="130"/>
      <c r="J243" s="144"/>
      <c r="K243" s="144"/>
      <c r="L243" s="144"/>
      <c r="M243" s="130">
        <f>(B243-B242)/100*5.1</f>
        <v>7404.193004999995</v>
      </c>
      <c r="N243" s="130"/>
      <c r="O243" s="130"/>
      <c r="P243" s="142">
        <f>M243+H243+F243+D243</f>
        <v>39924.57012499997</v>
      </c>
      <c r="Q243" s="143"/>
      <c r="R243" s="144">
        <f>R242+P243</f>
        <v>371983.9796625001</v>
      </c>
      <c r="S243" s="145"/>
    </row>
    <row r="244" spans="1:19" ht="13.5" thickBot="1">
      <c r="A244" s="134" t="s">
        <v>90</v>
      </c>
      <c r="B244" s="135"/>
      <c r="C244" s="135"/>
      <c r="D244" s="135"/>
      <c r="E244" s="135"/>
      <c r="F244" s="135"/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136"/>
    </row>
    <row r="245" spans="1:19" ht="12.75">
      <c r="A245" s="17">
        <v>1</v>
      </c>
      <c r="B245" s="132">
        <f>K116</f>
        <v>145180.255</v>
      </c>
      <c r="C245" s="133"/>
      <c r="D245" s="132">
        <f>B245/100*22</f>
        <v>31939.656100000004</v>
      </c>
      <c r="E245" s="132"/>
      <c r="F245" s="133"/>
      <c r="G245" s="133"/>
      <c r="H245" s="132">
        <f>B245/100*0.4</f>
        <v>580.7210200000001</v>
      </c>
      <c r="I245" s="132"/>
      <c r="J245" s="132">
        <f>B245/100*2.9</f>
        <v>4210.227395</v>
      </c>
      <c r="K245" s="132"/>
      <c r="L245" s="132"/>
      <c r="M245" s="132">
        <f>B245/100*5.1</f>
        <v>7404.193005</v>
      </c>
      <c r="N245" s="132"/>
      <c r="O245" s="132"/>
      <c r="P245" s="137">
        <f aca="true" t="shared" si="102" ref="P245:P252">M245+J245+H245+D245</f>
        <v>44134.79752000001</v>
      </c>
      <c r="Q245" s="138"/>
      <c r="R245" s="132">
        <f>P245</f>
        <v>44134.79752000001</v>
      </c>
      <c r="S245" s="133"/>
    </row>
    <row r="246" spans="1:19" ht="12.75">
      <c r="A246" s="13">
        <v>2</v>
      </c>
      <c r="B246" s="130">
        <f>L116+B245</f>
        <v>290360.51</v>
      </c>
      <c r="C246" s="115"/>
      <c r="D246" s="130">
        <f aca="true" t="shared" si="103" ref="D246:D252">(B246-B245)/100*22</f>
        <v>31939.656100000004</v>
      </c>
      <c r="E246" s="130"/>
      <c r="F246" s="115"/>
      <c r="G246" s="115"/>
      <c r="H246" s="130">
        <f aca="true" t="shared" si="104" ref="H246:H252">(B246-B245)/100*0.4</f>
        <v>580.7210200000001</v>
      </c>
      <c r="I246" s="130"/>
      <c r="J246" s="130">
        <f aca="true" t="shared" si="105" ref="J246:J252">(B246-B245)/100*2.9</f>
        <v>4210.227395</v>
      </c>
      <c r="K246" s="130"/>
      <c r="L246" s="130"/>
      <c r="M246" s="130">
        <f aca="true" t="shared" si="106" ref="M246:M252">(B246-B245)/100*5.1</f>
        <v>7404.193005</v>
      </c>
      <c r="N246" s="130"/>
      <c r="O246" s="130"/>
      <c r="P246" s="114">
        <f t="shared" si="102"/>
        <v>44134.79752000001</v>
      </c>
      <c r="Q246" s="126"/>
      <c r="R246" s="130">
        <f aca="true" t="shared" si="107" ref="R246:R252">R245+P246</f>
        <v>88269.59504000001</v>
      </c>
      <c r="S246" s="115"/>
    </row>
    <row r="247" spans="1:19" ht="12.75">
      <c r="A247" s="13">
        <v>3</v>
      </c>
      <c r="B247" s="130">
        <f>M116+B246</f>
        <v>413886.7515</v>
      </c>
      <c r="C247" s="115"/>
      <c r="D247" s="130">
        <f t="shared" si="103"/>
        <v>27175.77313</v>
      </c>
      <c r="E247" s="130"/>
      <c r="F247" s="115"/>
      <c r="G247" s="115"/>
      <c r="H247" s="130">
        <f t="shared" si="104"/>
        <v>494.1049660000001</v>
      </c>
      <c r="I247" s="130"/>
      <c r="J247" s="130">
        <f t="shared" si="105"/>
        <v>3582.2610035000002</v>
      </c>
      <c r="K247" s="130"/>
      <c r="L247" s="130"/>
      <c r="M247" s="130">
        <f t="shared" si="106"/>
        <v>6299.8383165000005</v>
      </c>
      <c r="N247" s="130"/>
      <c r="O247" s="130"/>
      <c r="P247" s="114">
        <f t="shared" si="102"/>
        <v>37551.977416</v>
      </c>
      <c r="Q247" s="126"/>
      <c r="R247" s="130">
        <f t="shared" si="107"/>
        <v>125821.57245600002</v>
      </c>
      <c r="S247" s="115"/>
    </row>
    <row r="248" spans="1:19" ht="12.75">
      <c r="A248" s="13">
        <v>4</v>
      </c>
      <c r="B248" s="130">
        <f>N116+B247</f>
        <v>537412.993</v>
      </c>
      <c r="C248" s="115"/>
      <c r="D248" s="130">
        <f t="shared" si="103"/>
        <v>27175.77313</v>
      </c>
      <c r="E248" s="130"/>
      <c r="F248" s="115"/>
      <c r="G248" s="115"/>
      <c r="H248" s="130">
        <f t="shared" si="104"/>
        <v>494.1049660000001</v>
      </c>
      <c r="I248" s="130"/>
      <c r="J248" s="130">
        <f t="shared" si="105"/>
        <v>3582.2610035000002</v>
      </c>
      <c r="K248" s="130"/>
      <c r="L248" s="130"/>
      <c r="M248" s="130">
        <f t="shared" si="106"/>
        <v>6299.8383165000005</v>
      </c>
      <c r="N248" s="130"/>
      <c r="O248" s="130"/>
      <c r="P248" s="114">
        <f t="shared" si="102"/>
        <v>37551.977416</v>
      </c>
      <c r="Q248" s="126"/>
      <c r="R248" s="130">
        <f t="shared" si="107"/>
        <v>163373.54987200003</v>
      </c>
      <c r="S248" s="115"/>
    </row>
    <row r="249" spans="1:19" ht="12.75">
      <c r="A249" s="13">
        <v>5</v>
      </c>
      <c r="B249" s="130">
        <f>O116+B248</f>
        <v>589790.333</v>
      </c>
      <c r="C249" s="115"/>
      <c r="D249" s="130">
        <f t="shared" si="103"/>
        <v>11523.014799999994</v>
      </c>
      <c r="E249" s="130"/>
      <c r="F249" s="115"/>
      <c r="G249" s="115"/>
      <c r="H249" s="130">
        <f t="shared" si="104"/>
        <v>209.5093599999999</v>
      </c>
      <c r="I249" s="130"/>
      <c r="J249" s="130">
        <f t="shared" si="105"/>
        <v>1518.942859999999</v>
      </c>
      <c r="K249" s="130"/>
      <c r="L249" s="130"/>
      <c r="M249" s="130">
        <f t="shared" si="106"/>
        <v>2671.2443399999984</v>
      </c>
      <c r="N249" s="130"/>
      <c r="O249" s="130"/>
      <c r="P249" s="114">
        <f t="shared" si="102"/>
        <v>15922.71135999999</v>
      </c>
      <c r="Q249" s="126"/>
      <c r="R249" s="130">
        <f t="shared" si="107"/>
        <v>179296.26123200002</v>
      </c>
      <c r="S249" s="115"/>
    </row>
    <row r="250" spans="1:19" ht="12.75">
      <c r="A250" s="13">
        <v>6</v>
      </c>
      <c r="B250" s="130">
        <f>P116+B249</f>
        <v>651447.9645</v>
      </c>
      <c r="C250" s="115"/>
      <c r="D250" s="130">
        <f t="shared" si="103"/>
        <v>13564.678930000004</v>
      </c>
      <c r="E250" s="130"/>
      <c r="F250" s="130"/>
      <c r="G250" s="130"/>
      <c r="H250" s="130">
        <f t="shared" si="104"/>
        <v>246.63052600000006</v>
      </c>
      <c r="I250" s="130"/>
      <c r="J250" s="130">
        <f t="shared" si="105"/>
        <v>1788.0713135000003</v>
      </c>
      <c r="K250" s="130"/>
      <c r="L250" s="130"/>
      <c r="M250" s="130">
        <f t="shared" si="106"/>
        <v>3144.5392065000005</v>
      </c>
      <c r="N250" s="130"/>
      <c r="O250" s="130"/>
      <c r="P250" s="114">
        <f t="shared" si="102"/>
        <v>18743.919976000005</v>
      </c>
      <c r="Q250" s="126"/>
      <c r="R250" s="130">
        <f t="shared" si="107"/>
        <v>198040.18120800002</v>
      </c>
      <c r="S250" s="115"/>
    </row>
    <row r="251" spans="1:19" ht="12.75">
      <c r="A251" s="13">
        <v>7</v>
      </c>
      <c r="B251" s="130">
        <f>Q116+B250</f>
        <v>716199.0265</v>
      </c>
      <c r="C251" s="115"/>
      <c r="D251" s="130">
        <f t="shared" si="103"/>
        <v>14245.233640000008</v>
      </c>
      <c r="E251" s="130"/>
      <c r="F251" s="130"/>
      <c r="G251" s="130"/>
      <c r="H251" s="130">
        <f t="shared" si="104"/>
        <v>259.00424800000013</v>
      </c>
      <c r="I251" s="130"/>
      <c r="J251" s="130">
        <f t="shared" si="105"/>
        <v>1877.780798000001</v>
      </c>
      <c r="K251" s="130"/>
      <c r="L251" s="130"/>
      <c r="M251" s="130">
        <f t="shared" si="106"/>
        <v>3302.3041620000017</v>
      </c>
      <c r="N251" s="130"/>
      <c r="O251" s="130"/>
      <c r="P251" s="114">
        <f t="shared" si="102"/>
        <v>19684.32284800001</v>
      </c>
      <c r="Q251" s="126"/>
      <c r="R251" s="130">
        <f t="shared" si="107"/>
        <v>217724.50405600003</v>
      </c>
      <c r="S251" s="115"/>
    </row>
    <row r="252" spans="1:19" ht="13.5" thickBot="1">
      <c r="A252" s="18">
        <v>8</v>
      </c>
      <c r="B252" s="144">
        <f>R116+B251</f>
        <v>802604.1020000001</v>
      </c>
      <c r="C252" s="145"/>
      <c r="D252" s="130">
        <f t="shared" si="103"/>
        <v>19009.11661000001</v>
      </c>
      <c r="E252" s="130"/>
      <c r="F252" s="144"/>
      <c r="G252" s="144"/>
      <c r="H252" s="130">
        <f t="shared" si="104"/>
        <v>345.62030200000015</v>
      </c>
      <c r="I252" s="130"/>
      <c r="J252" s="130">
        <f t="shared" si="105"/>
        <v>2505.747189500001</v>
      </c>
      <c r="K252" s="130"/>
      <c r="L252" s="130"/>
      <c r="M252" s="130">
        <f t="shared" si="106"/>
        <v>4406.658850500002</v>
      </c>
      <c r="N252" s="130"/>
      <c r="O252" s="130"/>
      <c r="P252" s="142">
        <f t="shared" si="102"/>
        <v>26267.14295200001</v>
      </c>
      <c r="Q252" s="143"/>
      <c r="R252" s="144">
        <f t="shared" si="107"/>
        <v>243991.64700800006</v>
      </c>
      <c r="S252" s="145"/>
    </row>
    <row r="253" spans="1:19" ht="13.5" thickBot="1">
      <c r="A253" s="134" t="s">
        <v>95</v>
      </c>
      <c r="B253" s="135"/>
      <c r="C253" s="135"/>
      <c r="D253" s="135"/>
      <c r="E253" s="135"/>
      <c r="F253" s="135"/>
      <c r="G253" s="135"/>
      <c r="H253" s="135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136"/>
    </row>
    <row r="254" spans="1:19" ht="12.75">
      <c r="A254" s="17">
        <v>9</v>
      </c>
      <c r="B254" s="132">
        <f>G124+B252</f>
        <v>879728.886</v>
      </c>
      <c r="C254" s="133"/>
      <c r="D254" s="132">
        <f>(B254-B252)/100*22</f>
        <v>16967.452479999996</v>
      </c>
      <c r="E254" s="132"/>
      <c r="F254" s="133"/>
      <c r="G254" s="133"/>
      <c r="H254" s="132">
        <f>(B254-B252)/100*0.4</f>
        <v>308.49913599999996</v>
      </c>
      <c r="I254" s="132"/>
      <c r="J254" s="132">
        <f>(B254-B252)/100*2.9</f>
        <v>2236.6187359999994</v>
      </c>
      <c r="K254" s="132"/>
      <c r="L254" s="132"/>
      <c r="M254" s="132">
        <f>(B254-B252)/100*5.1</f>
        <v>3933.363983999999</v>
      </c>
      <c r="N254" s="132"/>
      <c r="O254" s="132"/>
      <c r="P254" s="137">
        <f>M254+J254+H254+D254</f>
        <v>23445.934335999995</v>
      </c>
      <c r="Q254" s="138"/>
      <c r="R254" s="132">
        <f>P254+R252</f>
        <v>267437.58134400006</v>
      </c>
      <c r="S254" s="133"/>
    </row>
    <row r="255" spans="1:19" ht="12.75">
      <c r="A255" s="13">
        <v>10</v>
      </c>
      <c r="B255" s="130">
        <f>H124+B254</f>
        <v>984694.5445000001</v>
      </c>
      <c r="C255" s="115"/>
      <c r="D255" s="130">
        <f>(B255-B254)/100*22</f>
        <v>23092.444870000003</v>
      </c>
      <c r="E255" s="130"/>
      <c r="F255" s="130"/>
      <c r="G255" s="130"/>
      <c r="H255" s="130">
        <f>(B255-B254)/100*0.4</f>
        <v>419.86263400000007</v>
      </c>
      <c r="I255" s="130"/>
      <c r="J255" s="132">
        <f>(912000-B254)/100*2.9</f>
        <v>935.8623059999983</v>
      </c>
      <c r="K255" s="132"/>
      <c r="L255" s="132"/>
      <c r="M255" s="130">
        <f>(B255-B254)/100*5.1</f>
        <v>5353.248583500001</v>
      </c>
      <c r="N255" s="130"/>
      <c r="O255" s="130"/>
      <c r="P255" s="114">
        <f>M255+J255+H255+D255</f>
        <v>29801.418393500004</v>
      </c>
      <c r="Q255" s="126"/>
      <c r="R255" s="130">
        <f>R254+P255</f>
        <v>297238.9997375001</v>
      </c>
      <c r="S255" s="115"/>
    </row>
    <row r="256" spans="1:19" ht="12.75">
      <c r="A256" s="13">
        <v>11</v>
      </c>
      <c r="B256" s="130">
        <f>I124+B255</f>
        <v>1111314.2165</v>
      </c>
      <c r="C256" s="115"/>
      <c r="D256" s="130">
        <f>(B256-B255)/100*22</f>
        <v>27856.32784</v>
      </c>
      <c r="E256" s="130"/>
      <c r="F256" s="130"/>
      <c r="G256" s="130"/>
      <c r="H256" s="130">
        <f>(B256-B255)/100*0.4</f>
        <v>506.4786880000001</v>
      </c>
      <c r="I256" s="130"/>
      <c r="J256" s="130"/>
      <c r="K256" s="130"/>
      <c r="L256" s="130"/>
      <c r="M256" s="130">
        <f>(B256-B255)/100*5.1</f>
        <v>6457.603272</v>
      </c>
      <c r="N256" s="130"/>
      <c r="O256" s="130"/>
      <c r="P256" s="114">
        <f>M256+H256+D256</f>
        <v>34820.4098</v>
      </c>
      <c r="Q256" s="126"/>
      <c r="R256" s="130">
        <f>R255+P256</f>
        <v>332059.4095375001</v>
      </c>
      <c r="S256" s="115"/>
    </row>
    <row r="257" spans="1:19" ht="13.5" thickBot="1">
      <c r="A257" s="18">
        <v>12</v>
      </c>
      <c r="B257" s="144">
        <f>J124+B256</f>
        <v>1256494.4715</v>
      </c>
      <c r="C257" s="145"/>
      <c r="D257" s="130">
        <f>(B257-B256)/100*22</f>
        <v>31939.65609999998</v>
      </c>
      <c r="E257" s="130"/>
      <c r="F257" s="130"/>
      <c r="G257" s="130"/>
      <c r="H257" s="130">
        <f>(B257-B256)/100*0.4</f>
        <v>580.7210199999996</v>
      </c>
      <c r="I257" s="130"/>
      <c r="J257" s="144"/>
      <c r="K257" s="144"/>
      <c r="L257" s="144"/>
      <c r="M257" s="130">
        <f>(B257-B256)/100*5.1</f>
        <v>7404.193004999995</v>
      </c>
      <c r="N257" s="130"/>
      <c r="O257" s="130"/>
      <c r="P257" s="142">
        <f>M257+H257+F257+D257</f>
        <v>39924.57012499997</v>
      </c>
      <c r="Q257" s="143"/>
      <c r="R257" s="144">
        <f>R256+P257</f>
        <v>371983.9796625001</v>
      </c>
      <c r="S257" s="145"/>
    </row>
    <row r="258" spans="1:19" ht="13.5" thickBot="1">
      <c r="A258" s="134" t="s">
        <v>90</v>
      </c>
      <c r="B258" s="135"/>
      <c r="C258" s="135"/>
      <c r="D258" s="135"/>
      <c r="E258" s="135"/>
      <c r="F258" s="135"/>
      <c r="G258" s="135"/>
      <c r="H258" s="135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136"/>
    </row>
    <row r="259" spans="1:19" ht="12.75">
      <c r="A259" s="17">
        <v>1</v>
      </c>
      <c r="B259" s="132">
        <f>K124</f>
        <v>145180.255</v>
      </c>
      <c r="C259" s="133"/>
      <c r="D259" s="132">
        <f>B259/100*22</f>
        <v>31939.656100000004</v>
      </c>
      <c r="E259" s="132"/>
      <c r="F259" s="133"/>
      <c r="G259" s="133"/>
      <c r="H259" s="132">
        <f>B259/100*0.4</f>
        <v>580.7210200000001</v>
      </c>
      <c r="I259" s="132"/>
      <c r="J259" s="132">
        <f>B259/100*2.9</f>
        <v>4210.227395</v>
      </c>
      <c r="K259" s="132"/>
      <c r="L259" s="132"/>
      <c r="M259" s="132">
        <f>B259/100*5.1</f>
        <v>7404.193005</v>
      </c>
      <c r="N259" s="132"/>
      <c r="O259" s="132"/>
      <c r="P259" s="137">
        <f aca="true" t="shared" si="108" ref="P259:P266">M259+J259+H259+D259</f>
        <v>44134.79752000001</v>
      </c>
      <c r="Q259" s="138"/>
      <c r="R259" s="132">
        <f>P259</f>
        <v>44134.79752000001</v>
      </c>
      <c r="S259" s="133"/>
    </row>
    <row r="260" spans="1:19" ht="12.75">
      <c r="A260" s="13">
        <v>2</v>
      </c>
      <c r="B260" s="130">
        <f>L124+B259</f>
        <v>290360.51</v>
      </c>
      <c r="C260" s="115"/>
      <c r="D260" s="130">
        <f aca="true" t="shared" si="109" ref="D260:D266">(B260-B259)/100*22</f>
        <v>31939.656100000004</v>
      </c>
      <c r="E260" s="130"/>
      <c r="F260" s="115"/>
      <c r="G260" s="115"/>
      <c r="H260" s="130">
        <f aca="true" t="shared" si="110" ref="H260:H266">(B260-B259)/100*0.4</f>
        <v>580.7210200000001</v>
      </c>
      <c r="I260" s="130"/>
      <c r="J260" s="130">
        <f aca="true" t="shared" si="111" ref="J260:J266">(B260-B259)/100*2.9</f>
        <v>4210.227395</v>
      </c>
      <c r="K260" s="130"/>
      <c r="L260" s="130"/>
      <c r="M260" s="130">
        <f aca="true" t="shared" si="112" ref="M260:M266">(B260-B259)/100*5.1</f>
        <v>7404.193005</v>
      </c>
      <c r="N260" s="130"/>
      <c r="O260" s="130"/>
      <c r="P260" s="114">
        <f t="shared" si="108"/>
        <v>44134.79752000001</v>
      </c>
      <c r="Q260" s="126"/>
      <c r="R260" s="130">
        <f aca="true" t="shared" si="113" ref="R260:R266">R259+P260</f>
        <v>88269.59504000001</v>
      </c>
      <c r="S260" s="115"/>
    </row>
    <row r="261" spans="1:19" ht="12.75">
      <c r="A261" s="13">
        <v>3</v>
      </c>
      <c r="B261" s="130">
        <f>M124+B260</f>
        <v>413886.7515</v>
      </c>
      <c r="C261" s="115"/>
      <c r="D261" s="130">
        <f t="shared" si="109"/>
        <v>27175.77313</v>
      </c>
      <c r="E261" s="130"/>
      <c r="F261" s="115"/>
      <c r="G261" s="115"/>
      <c r="H261" s="130">
        <f t="shared" si="110"/>
        <v>494.1049660000001</v>
      </c>
      <c r="I261" s="130"/>
      <c r="J261" s="130">
        <f>(B261-B260)/100*2.9</f>
        <v>3582.2610035000002</v>
      </c>
      <c r="K261" s="130"/>
      <c r="L261" s="130"/>
      <c r="M261" s="130">
        <f t="shared" si="112"/>
        <v>6299.8383165000005</v>
      </c>
      <c r="N261" s="130"/>
      <c r="O261" s="130"/>
      <c r="P261" s="114">
        <f t="shared" si="108"/>
        <v>37551.977416</v>
      </c>
      <c r="Q261" s="126"/>
      <c r="R261" s="130">
        <f t="shared" si="113"/>
        <v>125821.57245600002</v>
      </c>
      <c r="S261" s="115"/>
    </row>
    <row r="262" spans="1:19" ht="12.75">
      <c r="A262" s="13">
        <v>4</v>
      </c>
      <c r="B262" s="130">
        <f>N124+B261</f>
        <v>537412.993</v>
      </c>
      <c r="C262" s="115"/>
      <c r="D262" s="130">
        <f t="shared" si="109"/>
        <v>27175.77313</v>
      </c>
      <c r="E262" s="130"/>
      <c r="F262" s="115"/>
      <c r="G262" s="115"/>
      <c r="H262" s="130">
        <f t="shared" si="110"/>
        <v>494.1049660000001</v>
      </c>
      <c r="I262" s="130"/>
      <c r="J262" s="130">
        <f>(B262-B261)/100*2.9</f>
        <v>3582.2610035000002</v>
      </c>
      <c r="K262" s="130"/>
      <c r="L262" s="130"/>
      <c r="M262" s="130">
        <f t="shared" si="112"/>
        <v>6299.8383165000005</v>
      </c>
      <c r="N262" s="130"/>
      <c r="O262" s="130"/>
      <c r="P262" s="114">
        <f t="shared" si="108"/>
        <v>37551.977416</v>
      </c>
      <c r="Q262" s="126"/>
      <c r="R262" s="130">
        <f t="shared" si="113"/>
        <v>163373.54987200003</v>
      </c>
      <c r="S262" s="115"/>
    </row>
    <row r="263" spans="1:19" ht="12.75">
      <c r="A263" s="13">
        <v>5</v>
      </c>
      <c r="B263" s="130">
        <f>O124+B262</f>
        <v>589790.333</v>
      </c>
      <c r="C263" s="115"/>
      <c r="D263" s="130">
        <f t="shared" si="109"/>
        <v>11523.014799999994</v>
      </c>
      <c r="E263" s="130"/>
      <c r="F263" s="115"/>
      <c r="G263" s="115"/>
      <c r="H263" s="130">
        <f t="shared" si="110"/>
        <v>209.5093599999999</v>
      </c>
      <c r="I263" s="130"/>
      <c r="J263" s="130">
        <f t="shared" si="111"/>
        <v>1518.942859999999</v>
      </c>
      <c r="K263" s="130"/>
      <c r="L263" s="130"/>
      <c r="M263" s="130">
        <f t="shared" si="112"/>
        <v>2671.2443399999984</v>
      </c>
      <c r="N263" s="130"/>
      <c r="O263" s="130"/>
      <c r="P263" s="114">
        <f t="shared" si="108"/>
        <v>15922.71135999999</v>
      </c>
      <c r="Q263" s="126"/>
      <c r="R263" s="130">
        <f t="shared" si="113"/>
        <v>179296.26123200002</v>
      </c>
      <c r="S263" s="115"/>
    </row>
    <row r="264" spans="1:19" ht="12.75">
      <c r="A264" s="13">
        <v>6</v>
      </c>
      <c r="B264" s="130">
        <f>P124+B263</f>
        <v>654541.395</v>
      </c>
      <c r="C264" s="115"/>
      <c r="D264" s="130">
        <f t="shared" si="109"/>
        <v>14245.233640000008</v>
      </c>
      <c r="E264" s="130"/>
      <c r="F264" s="130"/>
      <c r="G264" s="130"/>
      <c r="H264" s="130">
        <f t="shared" si="110"/>
        <v>259.00424800000013</v>
      </c>
      <c r="I264" s="130"/>
      <c r="J264" s="130">
        <f t="shared" si="111"/>
        <v>1877.780798000001</v>
      </c>
      <c r="K264" s="130"/>
      <c r="L264" s="130"/>
      <c r="M264" s="130">
        <f t="shared" si="112"/>
        <v>3302.3041620000017</v>
      </c>
      <c r="N264" s="130"/>
      <c r="O264" s="130"/>
      <c r="P264" s="114">
        <f t="shared" si="108"/>
        <v>19684.32284800001</v>
      </c>
      <c r="Q264" s="126"/>
      <c r="R264" s="130">
        <f t="shared" si="113"/>
        <v>198980.58408000003</v>
      </c>
      <c r="S264" s="115"/>
    </row>
    <row r="265" spans="1:19" ht="12.75">
      <c r="A265" s="13">
        <v>7</v>
      </c>
      <c r="B265" s="130">
        <f>Q124+B264</f>
        <v>716199.0265</v>
      </c>
      <c r="C265" s="115"/>
      <c r="D265" s="130">
        <f t="shared" si="109"/>
        <v>13564.678930000004</v>
      </c>
      <c r="E265" s="130"/>
      <c r="F265" s="130"/>
      <c r="G265" s="130"/>
      <c r="H265" s="130">
        <f t="shared" si="110"/>
        <v>246.63052600000006</v>
      </c>
      <c r="I265" s="130"/>
      <c r="J265" s="130">
        <f t="shared" si="111"/>
        <v>1788.0713135000003</v>
      </c>
      <c r="K265" s="130"/>
      <c r="L265" s="130"/>
      <c r="M265" s="130">
        <f t="shared" si="112"/>
        <v>3144.5392065000005</v>
      </c>
      <c r="N265" s="130"/>
      <c r="O265" s="130"/>
      <c r="P265" s="114">
        <f t="shared" si="108"/>
        <v>18743.919976000005</v>
      </c>
      <c r="Q265" s="126"/>
      <c r="R265" s="130">
        <f t="shared" si="113"/>
        <v>217724.50405600003</v>
      </c>
      <c r="S265" s="115"/>
    </row>
    <row r="266" spans="1:19" ht="13.5" thickBot="1">
      <c r="A266" s="18">
        <v>8</v>
      </c>
      <c r="B266" s="144">
        <f>R124+B265</f>
        <v>802604.1020000001</v>
      </c>
      <c r="C266" s="145"/>
      <c r="D266" s="130">
        <f t="shared" si="109"/>
        <v>19009.11661000001</v>
      </c>
      <c r="E266" s="130"/>
      <c r="F266" s="144"/>
      <c r="G266" s="144"/>
      <c r="H266" s="130">
        <f t="shared" si="110"/>
        <v>345.62030200000015</v>
      </c>
      <c r="I266" s="130"/>
      <c r="J266" s="130">
        <f t="shared" si="111"/>
        <v>2505.747189500001</v>
      </c>
      <c r="K266" s="130"/>
      <c r="L266" s="130"/>
      <c r="M266" s="130">
        <f t="shared" si="112"/>
        <v>4406.658850500002</v>
      </c>
      <c r="N266" s="130"/>
      <c r="O266" s="130"/>
      <c r="P266" s="142">
        <f t="shared" si="108"/>
        <v>26267.14295200001</v>
      </c>
      <c r="Q266" s="143"/>
      <c r="R266" s="144">
        <f t="shared" si="113"/>
        <v>243991.64700800006</v>
      </c>
      <c r="S266" s="145"/>
    </row>
    <row r="267" spans="1:19" ht="13.5" thickBot="1">
      <c r="A267" s="134" t="s">
        <v>96</v>
      </c>
      <c r="B267" s="135"/>
      <c r="C267" s="135"/>
      <c r="D267" s="135"/>
      <c r="E267" s="135"/>
      <c r="F267" s="135"/>
      <c r="G267" s="135"/>
      <c r="H267" s="135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136"/>
    </row>
    <row r="268" spans="1:19" ht="12.75">
      <c r="A268" s="17">
        <v>9</v>
      </c>
      <c r="B268" s="132">
        <f>G132+B266</f>
        <v>879728.886</v>
      </c>
      <c r="C268" s="133"/>
      <c r="D268" s="132">
        <f>(B268-B266)/100*22</f>
        <v>16967.452479999996</v>
      </c>
      <c r="E268" s="132"/>
      <c r="F268" s="133"/>
      <c r="G268" s="133"/>
      <c r="H268" s="132">
        <f>(B268-B266)/100*0.4</f>
        <v>308.49913599999996</v>
      </c>
      <c r="I268" s="132"/>
      <c r="J268" s="132">
        <f>(B268-B266)/100*2.9</f>
        <v>2236.6187359999994</v>
      </c>
      <c r="K268" s="132"/>
      <c r="L268" s="132"/>
      <c r="M268" s="132">
        <f>(B268-B266)/100*5.1</f>
        <v>3933.363983999999</v>
      </c>
      <c r="N268" s="132"/>
      <c r="O268" s="132"/>
      <c r="P268" s="137">
        <f>M268+J268+H268+D268</f>
        <v>23445.934335999995</v>
      </c>
      <c r="Q268" s="138"/>
      <c r="R268" s="132">
        <f>P268+R266</f>
        <v>267437.58134400006</v>
      </c>
      <c r="S268" s="133"/>
    </row>
    <row r="269" spans="1:19" ht="12.75">
      <c r="A269" s="13">
        <v>10</v>
      </c>
      <c r="B269" s="130">
        <f>H132+B268</f>
        <v>987787.9750000001</v>
      </c>
      <c r="C269" s="115"/>
      <c r="D269" s="130">
        <f>(B269-B268)/100*22</f>
        <v>23772.99958000001</v>
      </c>
      <c r="E269" s="130"/>
      <c r="F269" s="130"/>
      <c r="G269" s="130"/>
      <c r="H269" s="130">
        <f>(B269-B268)/100*0.4</f>
        <v>432.23635600000017</v>
      </c>
      <c r="I269" s="130"/>
      <c r="J269" s="132">
        <f>(912000-B268)/100*2.9</f>
        <v>935.8623059999983</v>
      </c>
      <c r="K269" s="132"/>
      <c r="L269" s="132"/>
      <c r="M269" s="130">
        <f>(B269-B268)/100*5.1</f>
        <v>5511.013539000001</v>
      </c>
      <c r="N269" s="130"/>
      <c r="O269" s="130"/>
      <c r="P269" s="114">
        <f>M269+J269+H269+D269</f>
        <v>30652.11178100001</v>
      </c>
      <c r="Q269" s="126"/>
      <c r="R269" s="130">
        <f>R268+P269</f>
        <v>298089.69312500005</v>
      </c>
      <c r="S269" s="115"/>
    </row>
    <row r="270" spans="1:19" ht="12.75">
      <c r="A270" s="13">
        <v>11</v>
      </c>
      <c r="B270" s="130">
        <f>I132+B269</f>
        <v>1111314.2165</v>
      </c>
      <c r="C270" s="115"/>
      <c r="D270" s="130">
        <f>(B270-B269)/100*22</f>
        <v>27175.77313</v>
      </c>
      <c r="E270" s="130"/>
      <c r="F270" s="130"/>
      <c r="G270" s="130"/>
      <c r="H270" s="130">
        <f>(B270-B269)/100*0.4</f>
        <v>494.1049660000001</v>
      </c>
      <c r="I270" s="130"/>
      <c r="J270" s="130"/>
      <c r="K270" s="130"/>
      <c r="L270" s="130"/>
      <c r="M270" s="130">
        <f>(B270-B269)/100*5.1</f>
        <v>6299.8383165000005</v>
      </c>
      <c r="N270" s="130"/>
      <c r="O270" s="130"/>
      <c r="P270" s="114">
        <f>M270+H270+D270</f>
        <v>33969.7164125</v>
      </c>
      <c r="Q270" s="126"/>
      <c r="R270" s="130">
        <f>R269+P270</f>
        <v>332059.40953750006</v>
      </c>
      <c r="S270" s="115"/>
    </row>
    <row r="271" spans="1:19" ht="13.5" thickBot="1">
      <c r="A271" s="18">
        <v>12</v>
      </c>
      <c r="B271" s="144">
        <f>J132+B270</f>
        <v>1256494.4715</v>
      </c>
      <c r="C271" s="145"/>
      <c r="D271" s="130">
        <f>(B271-B270)/100*22</f>
        <v>31939.65609999998</v>
      </c>
      <c r="E271" s="130"/>
      <c r="F271" s="130"/>
      <c r="G271" s="130"/>
      <c r="H271" s="130">
        <f>(B271-B270)/100*0.4</f>
        <v>580.7210199999996</v>
      </c>
      <c r="I271" s="130"/>
      <c r="J271" s="144"/>
      <c r="K271" s="144"/>
      <c r="L271" s="144"/>
      <c r="M271" s="130">
        <f>(B271-B270)/100*5.1</f>
        <v>7404.193004999995</v>
      </c>
      <c r="N271" s="130"/>
      <c r="O271" s="130"/>
      <c r="P271" s="142">
        <f>M271+H271+F271+D271</f>
        <v>39924.57012499997</v>
      </c>
      <c r="Q271" s="143"/>
      <c r="R271" s="144">
        <f>R270+P271</f>
        <v>371983.97966250003</v>
      </c>
      <c r="S271" s="145"/>
    </row>
    <row r="272" spans="1:19" ht="13.5" thickBot="1">
      <c r="A272" s="134" t="s">
        <v>90</v>
      </c>
      <c r="B272" s="135"/>
      <c r="C272" s="135"/>
      <c r="D272" s="135"/>
      <c r="E272" s="135"/>
      <c r="F272" s="135"/>
      <c r="G272" s="135"/>
      <c r="H272" s="135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136"/>
    </row>
    <row r="273" spans="1:19" ht="12.75">
      <c r="A273" s="17">
        <v>1</v>
      </c>
      <c r="B273" s="132">
        <f>K132</f>
        <v>145180.255</v>
      </c>
      <c r="C273" s="133"/>
      <c r="D273" s="132">
        <f>B273/100*22</f>
        <v>31939.656100000004</v>
      </c>
      <c r="E273" s="132"/>
      <c r="F273" s="133"/>
      <c r="G273" s="133"/>
      <c r="H273" s="132">
        <f>B273/100*0.4</f>
        <v>580.7210200000001</v>
      </c>
      <c r="I273" s="132"/>
      <c r="J273" s="132">
        <f>B273/100*2.9</f>
        <v>4210.227395</v>
      </c>
      <c r="K273" s="132"/>
      <c r="L273" s="132"/>
      <c r="M273" s="132">
        <f>B273/100*5.1</f>
        <v>7404.193005</v>
      </c>
      <c r="N273" s="132"/>
      <c r="O273" s="132"/>
      <c r="P273" s="114">
        <f aca="true" t="shared" si="114" ref="P273:P280">M273+J273+H273+D273</f>
        <v>44134.79752000001</v>
      </c>
      <c r="Q273" s="126"/>
      <c r="R273" s="132">
        <f>P273</f>
        <v>44134.79752000001</v>
      </c>
      <c r="S273" s="133"/>
    </row>
    <row r="274" spans="1:19" ht="12.75">
      <c r="A274" s="13">
        <v>2</v>
      </c>
      <c r="B274" s="130">
        <f>L132+B273</f>
        <v>290360.51</v>
      </c>
      <c r="C274" s="115"/>
      <c r="D274" s="130">
        <f aca="true" t="shared" si="115" ref="D274:D280">(B274-B273)/100*22</f>
        <v>31939.656100000004</v>
      </c>
      <c r="E274" s="130"/>
      <c r="F274" s="115"/>
      <c r="G274" s="115"/>
      <c r="H274" s="130">
        <f aca="true" t="shared" si="116" ref="H274:H280">(B274-B273)/100*0.4</f>
        <v>580.7210200000001</v>
      </c>
      <c r="I274" s="130"/>
      <c r="J274" s="130">
        <f aca="true" t="shared" si="117" ref="J274:J280">(B274-B273)/100*2.9</f>
        <v>4210.227395</v>
      </c>
      <c r="K274" s="130"/>
      <c r="L274" s="130"/>
      <c r="M274" s="130">
        <f aca="true" t="shared" si="118" ref="M274:M280">(B274-B273)/100*5.1</f>
        <v>7404.193005</v>
      </c>
      <c r="N274" s="130"/>
      <c r="O274" s="130"/>
      <c r="P274" s="114">
        <f t="shared" si="114"/>
        <v>44134.79752000001</v>
      </c>
      <c r="Q274" s="126"/>
      <c r="R274" s="130">
        <f aca="true" t="shared" si="119" ref="R274:R280">R273+P274</f>
        <v>88269.59504000001</v>
      </c>
      <c r="S274" s="115"/>
    </row>
    <row r="275" spans="1:19" ht="12.75">
      <c r="A275" s="13">
        <v>3</v>
      </c>
      <c r="B275" s="130">
        <f>M132+B274</f>
        <v>413886.7515</v>
      </c>
      <c r="C275" s="115"/>
      <c r="D275" s="130">
        <f t="shared" si="115"/>
        <v>27175.77313</v>
      </c>
      <c r="E275" s="130"/>
      <c r="F275" s="115"/>
      <c r="G275" s="115"/>
      <c r="H275" s="130">
        <f t="shared" si="116"/>
        <v>494.1049660000001</v>
      </c>
      <c r="I275" s="130"/>
      <c r="J275" s="130">
        <f t="shared" si="117"/>
        <v>3582.2610035000002</v>
      </c>
      <c r="K275" s="130"/>
      <c r="L275" s="130"/>
      <c r="M275" s="130">
        <f t="shared" si="118"/>
        <v>6299.8383165000005</v>
      </c>
      <c r="N275" s="130"/>
      <c r="O275" s="130"/>
      <c r="P275" s="114">
        <f t="shared" si="114"/>
        <v>37551.977416</v>
      </c>
      <c r="Q275" s="126"/>
      <c r="R275" s="130">
        <f t="shared" si="119"/>
        <v>125821.57245600002</v>
      </c>
      <c r="S275" s="115"/>
    </row>
    <row r="276" spans="1:19" ht="12.75">
      <c r="A276" s="13">
        <v>4</v>
      </c>
      <c r="B276" s="130">
        <f>N132+B275</f>
        <v>537412.993</v>
      </c>
      <c r="C276" s="115"/>
      <c r="D276" s="130">
        <f t="shared" si="115"/>
        <v>27175.77313</v>
      </c>
      <c r="E276" s="130"/>
      <c r="F276" s="115"/>
      <c r="G276" s="115"/>
      <c r="H276" s="130">
        <f t="shared" si="116"/>
        <v>494.1049660000001</v>
      </c>
      <c r="I276" s="130"/>
      <c r="J276" s="130">
        <f t="shared" si="117"/>
        <v>3582.2610035000002</v>
      </c>
      <c r="K276" s="130"/>
      <c r="L276" s="130"/>
      <c r="M276" s="130">
        <f t="shared" si="118"/>
        <v>6299.8383165000005</v>
      </c>
      <c r="N276" s="130"/>
      <c r="O276" s="130"/>
      <c r="P276" s="114">
        <f t="shared" si="114"/>
        <v>37551.977416</v>
      </c>
      <c r="Q276" s="126"/>
      <c r="R276" s="130">
        <f t="shared" si="119"/>
        <v>163373.54987200003</v>
      </c>
      <c r="S276" s="115"/>
    </row>
    <row r="277" spans="1:19" ht="12.75">
      <c r="A277" s="13">
        <v>5</v>
      </c>
      <c r="B277" s="130">
        <f>O132+B276</f>
        <v>589790.333</v>
      </c>
      <c r="C277" s="115"/>
      <c r="D277" s="130">
        <f t="shared" si="115"/>
        <v>11523.014799999994</v>
      </c>
      <c r="E277" s="130"/>
      <c r="F277" s="115"/>
      <c r="G277" s="115"/>
      <c r="H277" s="130">
        <f t="shared" si="116"/>
        <v>209.5093599999999</v>
      </c>
      <c r="I277" s="130"/>
      <c r="J277" s="130">
        <f t="shared" si="117"/>
        <v>1518.942859999999</v>
      </c>
      <c r="K277" s="130"/>
      <c r="L277" s="130"/>
      <c r="M277" s="130">
        <f t="shared" si="118"/>
        <v>2671.2443399999984</v>
      </c>
      <c r="N277" s="130"/>
      <c r="O277" s="130"/>
      <c r="P277" s="114">
        <f t="shared" si="114"/>
        <v>15922.71135999999</v>
      </c>
      <c r="Q277" s="126"/>
      <c r="R277" s="130">
        <f t="shared" si="119"/>
        <v>179296.26123200002</v>
      </c>
      <c r="S277" s="115"/>
    </row>
    <row r="278" spans="1:19" ht="12.75">
      <c r="A278" s="13">
        <v>6</v>
      </c>
      <c r="B278" s="130">
        <f>P132+B277</f>
        <v>654541.395</v>
      </c>
      <c r="C278" s="115"/>
      <c r="D278" s="130">
        <f t="shared" si="115"/>
        <v>14245.233640000008</v>
      </c>
      <c r="E278" s="130"/>
      <c r="F278" s="130"/>
      <c r="G278" s="130"/>
      <c r="H278" s="130">
        <f t="shared" si="116"/>
        <v>259.00424800000013</v>
      </c>
      <c r="I278" s="130"/>
      <c r="J278" s="130">
        <f t="shared" si="117"/>
        <v>1877.780798000001</v>
      </c>
      <c r="K278" s="130"/>
      <c r="L278" s="130"/>
      <c r="M278" s="130">
        <f t="shared" si="118"/>
        <v>3302.3041620000017</v>
      </c>
      <c r="N278" s="130"/>
      <c r="O278" s="130"/>
      <c r="P278" s="114">
        <f t="shared" si="114"/>
        <v>19684.32284800001</v>
      </c>
      <c r="Q278" s="126"/>
      <c r="R278" s="130">
        <f t="shared" si="119"/>
        <v>198980.58408000003</v>
      </c>
      <c r="S278" s="115"/>
    </row>
    <row r="279" spans="1:19" ht="12.75">
      <c r="A279" s="13">
        <v>7</v>
      </c>
      <c r="B279" s="130">
        <f>Q132+B278</f>
        <v>716199.0265</v>
      </c>
      <c r="C279" s="115"/>
      <c r="D279" s="130">
        <f t="shared" si="115"/>
        <v>13564.678930000004</v>
      </c>
      <c r="E279" s="130"/>
      <c r="F279" s="130"/>
      <c r="G279" s="130"/>
      <c r="H279" s="130">
        <f t="shared" si="116"/>
        <v>246.63052600000006</v>
      </c>
      <c r="I279" s="130"/>
      <c r="J279" s="130">
        <f t="shared" si="117"/>
        <v>1788.0713135000003</v>
      </c>
      <c r="K279" s="130"/>
      <c r="L279" s="130"/>
      <c r="M279" s="130">
        <f t="shared" si="118"/>
        <v>3144.5392065000005</v>
      </c>
      <c r="N279" s="130"/>
      <c r="O279" s="130"/>
      <c r="P279" s="114">
        <f t="shared" si="114"/>
        <v>18743.919976000005</v>
      </c>
      <c r="Q279" s="126"/>
      <c r="R279" s="130">
        <f t="shared" si="119"/>
        <v>217724.50405600003</v>
      </c>
      <c r="S279" s="115"/>
    </row>
    <row r="280" spans="1:19" ht="13.5" thickBot="1">
      <c r="A280" s="18">
        <v>8</v>
      </c>
      <c r="B280" s="144">
        <f>R132+B279</f>
        <v>802604.1020000001</v>
      </c>
      <c r="C280" s="145"/>
      <c r="D280" s="130">
        <f t="shared" si="115"/>
        <v>19009.11661000001</v>
      </c>
      <c r="E280" s="130"/>
      <c r="F280" s="144"/>
      <c r="G280" s="144"/>
      <c r="H280" s="130">
        <f t="shared" si="116"/>
        <v>345.62030200000015</v>
      </c>
      <c r="I280" s="130"/>
      <c r="J280" s="130">
        <f t="shared" si="117"/>
        <v>2505.747189500001</v>
      </c>
      <c r="K280" s="130"/>
      <c r="L280" s="130"/>
      <c r="M280" s="130">
        <f t="shared" si="118"/>
        <v>4406.658850500002</v>
      </c>
      <c r="N280" s="130"/>
      <c r="O280" s="130"/>
      <c r="P280" s="142">
        <f t="shared" si="114"/>
        <v>26267.14295200001</v>
      </c>
      <c r="Q280" s="143"/>
      <c r="R280" s="144">
        <f t="shared" si="119"/>
        <v>243991.64700800006</v>
      </c>
      <c r="S280" s="145"/>
    </row>
    <row r="281" spans="1:19" ht="13.5" thickBot="1">
      <c r="A281" s="134" t="s">
        <v>97</v>
      </c>
      <c r="B281" s="135"/>
      <c r="C281" s="135"/>
      <c r="D281" s="135"/>
      <c r="E281" s="135"/>
      <c r="F281" s="135"/>
      <c r="G281" s="135"/>
      <c r="H281" s="135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136"/>
    </row>
    <row r="282" spans="1:19" ht="12.75">
      <c r="A282" s="17">
        <v>9</v>
      </c>
      <c r="B282" s="132">
        <f>G140+B280</f>
        <v>879728.886</v>
      </c>
      <c r="C282" s="133"/>
      <c r="D282" s="132">
        <f>(B282-B280)/100*22</f>
        <v>16967.452479999996</v>
      </c>
      <c r="E282" s="132"/>
      <c r="F282" s="133"/>
      <c r="G282" s="133"/>
      <c r="H282" s="132">
        <f>(B282-B280)/100*0.4</f>
        <v>308.49913599999996</v>
      </c>
      <c r="I282" s="132"/>
      <c r="J282" s="132">
        <f>(B282-B280)/100*2.9</f>
        <v>2236.6187359999994</v>
      </c>
      <c r="K282" s="132"/>
      <c r="L282" s="132"/>
      <c r="M282" s="132">
        <f>(B282-B280)/100*5.1</f>
        <v>3933.363983999999</v>
      </c>
      <c r="N282" s="132"/>
      <c r="O282" s="132"/>
      <c r="P282" s="137">
        <f>M282+J282+H282+D282</f>
        <v>23445.934335999995</v>
      </c>
      <c r="Q282" s="138"/>
      <c r="R282" s="132">
        <f>P282+R280</f>
        <v>267437.58134400006</v>
      </c>
      <c r="S282" s="133"/>
    </row>
    <row r="283" spans="1:19" ht="12.75">
      <c r="A283" s="13">
        <v>10</v>
      </c>
      <c r="B283" s="130">
        <f>H140+B282</f>
        <v>987787.9750000001</v>
      </c>
      <c r="C283" s="115"/>
      <c r="D283" s="130">
        <f>(B283-B282)/100*22</f>
        <v>23772.99958000001</v>
      </c>
      <c r="E283" s="130"/>
      <c r="F283" s="130"/>
      <c r="G283" s="130"/>
      <c r="H283" s="130">
        <f>(B283-B282)/100*0.4</f>
        <v>432.23635600000017</v>
      </c>
      <c r="I283" s="130"/>
      <c r="J283" s="132">
        <f>(912000-B282)/100*2.9</f>
        <v>935.8623059999983</v>
      </c>
      <c r="K283" s="132"/>
      <c r="L283" s="132"/>
      <c r="M283" s="130">
        <f>(B283-B282)/100*5.1</f>
        <v>5511.013539000001</v>
      </c>
      <c r="N283" s="130"/>
      <c r="O283" s="130"/>
      <c r="P283" s="114">
        <f>M283+J283+H283+D283</f>
        <v>30652.11178100001</v>
      </c>
      <c r="Q283" s="126"/>
      <c r="R283" s="130">
        <f>R282+P283</f>
        <v>298089.69312500005</v>
      </c>
      <c r="S283" s="115"/>
    </row>
    <row r="284" spans="1:19" ht="12.75">
      <c r="A284" s="13">
        <v>11</v>
      </c>
      <c r="B284" s="130">
        <f>I140+B283</f>
        <v>1114407.647</v>
      </c>
      <c r="C284" s="115"/>
      <c r="D284" s="130">
        <f>(B284-B283)/100*22</f>
        <v>27856.32784</v>
      </c>
      <c r="E284" s="130"/>
      <c r="F284" s="130"/>
      <c r="G284" s="130"/>
      <c r="H284" s="130">
        <f>(B284-B283)/100*0.4</f>
        <v>506.4786880000001</v>
      </c>
      <c r="I284" s="130"/>
      <c r="J284" s="130"/>
      <c r="K284" s="130"/>
      <c r="L284" s="130"/>
      <c r="M284" s="130">
        <f>(B284-B283)/100*5.1</f>
        <v>6457.603272</v>
      </c>
      <c r="N284" s="130"/>
      <c r="O284" s="130"/>
      <c r="P284" s="114">
        <f>M284+H284+D284</f>
        <v>34820.4098</v>
      </c>
      <c r="Q284" s="126"/>
      <c r="R284" s="130">
        <f>R283+P284</f>
        <v>332910.1029250001</v>
      </c>
      <c r="S284" s="115"/>
    </row>
    <row r="285" spans="1:19" ht="13.5" thickBot="1">
      <c r="A285" s="13">
        <v>12</v>
      </c>
      <c r="B285" s="130">
        <f>J140+B284</f>
        <v>1259587.9020000002</v>
      </c>
      <c r="C285" s="115"/>
      <c r="D285" s="130">
        <f>(B285-B284)/100*22</f>
        <v>31939.65610000003</v>
      </c>
      <c r="E285" s="130"/>
      <c r="F285" s="130"/>
      <c r="G285" s="130"/>
      <c r="H285" s="130">
        <f>(B285-B284)/100*0.4</f>
        <v>580.7210200000005</v>
      </c>
      <c r="I285" s="130"/>
      <c r="J285" s="130"/>
      <c r="K285" s="130"/>
      <c r="L285" s="130"/>
      <c r="M285" s="130">
        <f>(B285-B284)/100*5.1</f>
        <v>7404.1930050000055</v>
      </c>
      <c r="N285" s="130"/>
      <c r="O285" s="130"/>
      <c r="P285" s="114">
        <f>M285+H285+F285+D285</f>
        <v>39924.570125000035</v>
      </c>
      <c r="Q285" s="126"/>
      <c r="R285" s="130">
        <f>R284+P285</f>
        <v>372834.6730500001</v>
      </c>
      <c r="S285" s="115"/>
    </row>
    <row r="286" spans="1:19" ht="13.5" thickBot="1">
      <c r="A286" s="134" t="s">
        <v>90</v>
      </c>
      <c r="B286" s="135"/>
      <c r="C286" s="135"/>
      <c r="D286" s="135"/>
      <c r="E286" s="135"/>
      <c r="F286" s="135"/>
      <c r="G286" s="135"/>
      <c r="H286" s="135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136"/>
    </row>
    <row r="287" spans="1:19" ht="12.75">
      <c r="A287" s="17">
        <v>1</v>
      </c>
      <c r="B287" s="132">
        <f>K140</f>
        <v>145180.255</v>
      </c>
      <c r="C287" s="133"/>
      <c r="D287" s="132">
        <f>B287/100*22</f>
        <v>31939.656100000004</v>
      </c>
      <c r="E287" s="132"/>
      <c r="F287" s="133"/>
      <c r="G287" s="133"/>
      <c r="H287" s="132">
        <f>B287/100*0.4</f>
        <v>580.7210200000001</v>
      </c>
      <c r="I287" s="132"/>
      <c r="J287" s="132">
        <f>B287/100*2.9</f>
        <v>4210.227395</v>
      </c>
      <c r="K287" s="132"/>
      <c r="L287" s="132"/>
      <c r="M287" s="132">
        <f>B287/100*5.1</f>
        <v>7404.193005</v>
      </c>
      <c r="N287" s="132"/>
      <c r="O287" s="132"/>
      <c r="P287" s="114">
        <f aca="true" t="shared" si="120" ref="P287:P294">M287+J287+H287+D287</f>
        <v>44134.79752000001</v>
      </c>
      <c r="Q287" s="126"/>
      <c r="R287" s="132">
        <f>P287</f>
        <v>44134.79752000001</v>
      </c>
      <c r="S287" s="133"/>
    </row>
    <row r="288" spans="1:19" ht="12.75">
      <c r="A288" s="13">
        <v>2</v>
      </c>
      <c r="B288" s="130">
        <f>L140+B287</f>
        <v>290360.51</v>
      </c>
      <c r="C288" s="115"/>
      <c r="D288" s="130">
        <f aca="true" t="shared" si="121" ref="D288:D294">(B288-B287)/100*22</f>
        <v>31939.656100000004</v>
      </c>
      <c r="E288" s="130"/>
      <c r="F288" s="115"/>
      <c r="G288" s="115"/>
      <c r="H288" s="130">
        <f aca="true" t="shared" si="122" ref="H288:H294">(B288-B287)/100*0.4</f>
        <v>580.7210200000001</v>
      </c>
      <c r="I288" s="130"/>
      <c r="J288" s="130">
        <f aca="true" t="shared" si="123" ref="J288:J294">(B288-B287)/100*2.9</f>
        <v>4210.227395</v>
      </c>
      <c r="K288" s="130"/>
      <c r="L288" s="130"/>
      <c r="M288" s="130">
        <f aca="true" t="shared" si="124" ref="M288:M294">(B288-B287)/100*5.1</f>
        <v>7404.193005</v>
      </c>
      <c r="N288" s="130"/>
      <c r="O288" s="130"/>
      <c r="P288" s="114">
        <f t="shared" si="120"/>
        <v>44134.79752000001</v>
      </c>
      <c r="Q288" s="126"/>
      <c r="R288" s="130">
        <f aca="true" t="shared" si="125" ref="R288:R294">R287+P288</f>
        <v>88269.59504000001</v>
      </c>
      <c r="S288" s="115"/>
    </row>
    <row r="289" spans="1:19" ht="12.75">
      <c r="A289" s="13">
        <v>3</v>
      </c>
      <c r="B289" s="130">
        <f>M140+B288</f>
        <v>410793.321</v>
      </c>
      <c r="C289" s="115"/>
      <c r="D289" s="130">
        <f t="shared" si="121"/>
        <v>26495.218419999997</v>
      </c>
      <c r="E289" s="130"/>
      <c r="F289" s="115"/>
      <c r="G289" s="115"/>
      <c r="H289" s="130">
        <f t="shared" si="122"/>
        <v>481.731244</v>
      </c>
      <c r="I289" s="130"/>
      <c r="J289" s="130">
        <f t="shared" si="123"/>
        <v>3492.5515189999996</v>
      </c>
      <c r="K289" s="130"/>
      <c r="L289" s="130"/>
      <c r="M289" s="130">
        <f t="shared" si="124"/>
        <v>6142.073360999999</v>
      </c>
      <c r="N289" s="130"/>
      <c r="O289" s="130"/>
      <c r="P289" s="114">
        <f>M289+J289+H289+D289</f>
        <v>36611.574543999996</v>
      </c>
      <c r="Q289" s="126"/>
      <c r="R289" s="130">
        <f t="shared" si="125"/>
        <v>124881.16958400002</v>
      </c>
      <c r="S289" s="115"/>
    </row>
    <row r="290" spans="1:19" ht="12.75">
      <c r="A290" s="13">
        <v>4</v>
      </c>
      <c r="B290" s="130">
        <f>N140+B289</f>
        <v>534319.5625</v>
      </c>
      <c r="C290" s="115"/>
      <c r="D290" s="130">
        <f t="shared" si="121"/>
        <v>27175.77313</v>
      </c>
      <c r="E290" s="130"/>
      <c r="F290" s="115"/>
      <c r="G290" s="115"/>
      <c r="H290" s="130">
        <f t="shared" si="122"/>
        <v>494.1049660000001</v>
      </c>
      <c r="I290" s="130"/>
      <c r="J290" s="130">
        <f t="shared" si="123"/>
        <v>3582.2610035000002</v>
      </c>
      <c r="K290" s="130"/>
      <c r="L290" s="130"/>
      <c r="M290" s="130">
        <f t="shared" si="124"/>
        <v>6299.8383165000005</v>
      </c>
      <c r="N290" s="130"/>
      <c r="O290" s="130"/>
      <c r="P290" s="114">
        <f t="shared" si="120"/>
        <v>37551.977416</v>
      </c>
      <c r="Q290" s="126"/>
      <c r="R290" s="130">
        <f t="shared" si="125"/>
        <v>162433.14700000003</v>
      </c>
      <c r="S290" s="115"/>
    </row>
    <row r="291" spans="1:19" ht="12.75">
      <c r="A291" s="13">
        <v>5</v>
      </c>
      <c r="B291" s="130">
        <f>O140+B290</f>
        <v>586696.9025</v>
      </c>
      <c r="C291" s="115"/>
      <c r="D291" s="130">
        <f t="shared" si="121"/>
        <v>11523.014799999994</v>
      </c>
      <c r="E291" s="130"/>
      <c r="F291" s="115"/>
      <c r="G291" s="115"/>
      <c r="H291" s="130">
        <f t="shared" si="122"/>
        <v>209.5093599999999</v>
      </c>
      <c r="I291" s="130"/>
      <c r="J291" s="130">
        <f t="shared" si="123"/>
        <v>1518.942859999999</v>
      </c>
      <c r="K291" s="130"/>
      <c r="L291" s="130"/>
      <c r="M291" s="130">
        <f t="shared" si="124"/>
        <v>2671.2443399999984</v>
      </c>
      <c r="N291" s="130"/>
      <c r="O291" s="130"/>
      <c r="P291" s="114">
        <f t="shared" si="120"/>
        <v>15922.71135999999</v>
      </c>
      <c r="Q291" s="126"/>
      <c r="R291" s="130">
        <f t="shared" si="125"/>
        <v>178355.85836</v>
      </c>
      <c r="S291" s="115"/>
    </row>
    <row r="292" spans="1:19" ht="12.75">
      <c r="A292" s="13">
        <v>6</v>
      </c>
      <c r="B292" s="130">
        <f>P140+B291</f>
        <v>651447.9645</v>
      </c>
      <c r="C292" s="115"/>
      <c r="D292" s="130">
        <f t="shared" si="121"/>
        <v>14245.233640000008</v>
      </c>
      <c r="E292" s="130"/>
      <c r="F292" s="130"/>
      <c r="G292" s="130"/>
      <c r="H292" s="130">
        <f t="shared" si="122"/>
        <v>259.00424800000013</v>
      </c>
      <c r="I292" s="130"/>
      <c r="J292" s="130">
        <f t="shared" si="123"/>
        <v>1877.780798000001</v>
      </c>
      <c r="K292" s="130"/>
      <c r="L292" s="130"/>
      <c r="M292" s="130">
        <f t="shared" si="124"/>
        <v>3302.3041620000017</v>
      </c>
      <c r="N292" s="130"/>
      <c r="O292" s="130"/>
      <c r="P292" s="114">
        <f t="shared" si="120"/>
        <v>19684.32284800001</v>
      </c>
      <c r="Q292" s="126"/>
      <c r="R292" s="130">
        <f t="shared" si="125"/>
        <v>198040.18120800002</v>
      </c>
      <c r="S292" s="115"/>
    </row>
    <row r="293" spans="1:19" ht="12.75">
      <c r="A293" s="13">
        <v>7</v>
      </c>
      <c r="B293" s="130">
        <f>Q140+B292</f>
        <v>716199.0265</v>
      </c>
      <c r="C293" s="115"/>
      <c r="D293" s="130">
        <f t="shared" si="121"/>
        <v>14245.233640000008</v>
      </c>
      <c r="E293" s="130"/>
      <c r="F293" s="130"/>
      <c r="G293" s="130"/>
      <c r="H293" s="130">
        <f t="shared" si="122"/>
        <v>259.00424800000013</v>
      </c>
      <c r="I293" s="130"/>
      <c r="J293" s="130">
        <f t="shared" si="123"/>
        <v>1877.780798000001</v>
      </c>
      <c r="K293" s="130"/>
      <c r="L293" s="130"/>
      <c r="M293" s="130">
        <f t="shared" si="124"/>
        <v>3302.3041620000017</v>
      </c>
      <c r="N293" s="130"/>
      <c r="O293" s="130"/>
      <c r="P293" s="114">
        <f t="shared" si="120"/>
        <v>19684.32284800001</v>
      </c>
      <c r="Q293" s="126"/>
      <c r="R293" s="130">
        <f t="shared" si="125"/>
        <v>217724.50405600003</v>
      </c>
      <c r="S293" s="115"/>
    </row>
    <row r="294" spans="1:19" ht="13.5" thickBot="1">
      <c r="A294" s="18">
        <v>8</v>
      </c>
      <c r="B294" s="144">
        <f>R140+B293</f>
        <v>799510.6715</v>
      </c>
      <c r="C294" s="145"/>
      <c r="D294" s="130">
        <f t="shared" si="121"/>
        <v>18328.561900000004</v>
      </c>
      <c r="E294" s="130"/>
      <c r="F294" s="144"/>
      <c r="G294" s="144"/>
      <c r="H294" s="130">
        <f t="shared" si="122"/>
        <v>333.2465800000001</v>
      </c>
      <c r="I294" s="130"/>
      <c r="J294" s="130">
        <f t="shared" si="123"/>
        <v>2416.0377050000006</v>
      </c>
      <c r="K294" s="130"/>
      <c r="L294" s="130"/>
      <c r="M294" s="130">
        <f t="shared" si="124"/>
        <v>4248.893895000001</v>
      </c>
      <c r="N294" s="130"/>
      <c r="O294" s="130"/>
      <c r="P294" s="142">
        <f t="shared" si="120"/>
        <v>25326.740080000007</v>
      </c>
      <c r="Q294" s="143"/>
      <c r="R294" s="144">
        <f t="shared" si="125"/>
        <v>243051.24413600005</v>
      </c>
      <c r="S294" s="145"/>
    </row>
    <row r="295" spans="1:19" ht="13.5" thickBot="1">
      <c r="A295" s="134" t="s">
        <v>98</v>
      </c>
      <c r="B295" s="135"/>
      <c r="C295" s="135"/>
      <c r="D295" s="135"/>
      <c r="E295" s="135"/>
      <c r="F295" s="135"/>
      <c r="G295" s="135"/>
      <c r="H295" s="135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136"/>
    </row>
    <row r="296" spans="1:19" ht="12.75">
      <c r="A296" s="17">
        <v>9</v>
      </c>
      <c r="B296" s="132">
        <f>G148+B294</f>
        <v>876635.4555</v>
      </c>
      <c r="C296" s="133"/>
      <c r="D296" s="132">
        <f>(B296-B294)/100*22</f>
        <v>16967.452479999996</v>
      </c>
      <c r="E296" s="132"/>
      <c r="F296" s="133"/>
      <c r="G296" s="133"/>
      <c r="H296" s="132">
        <f>(B296-B294)/100*0.4</f>
        <v>308.49913599999996</v>
      </c>
      <c r="I296" s="132"/>
      <c r="J296" s="132">
        <f>(B296-B294)/100*2.9</f>
        <v>2236.6187359999994</v>
      </c>
      <c r="K296" s="132"/>
      <c r="L296" s="132"/>
      <c r="M296" s="132">
        <f>(B296-B294)/100*5.1</f>
        <v>3933.363983999999</v>
      </c>
      <c r="N296" s="132"/>
      <c r="O296" s="132"/>
      <c r="P296" s="137">
        <f>M296+J296+H296+D296</f>
        <v>23445.934335999995</v>
      </c>
      <c r="Q296" s="138"/>
      <c r="R296" s="132">
        <f>P296+R294</f>
        <v>266497.17847200006</v>
      </c>
      <c r="S296" s="133"/>
    </row>
    <row r="297" spans="1:19" ht="12.75">
      <c r="A297" s="13">
        <v>10</v>
      </c>
      <c r="B297" s="130">
        <f>H148+B296</f>
        <v>984694.5445000001</v>
      </c>
      <c r="C297" s="115"/>
      <c r="D297" s="130">
        <f>(B297-B296)/100*22</f>
        <v>23772.99958000001</v>
      </c>
      <c r="E297" s="130"/>
      <c r="F297" s="130"/>
      <c r="G297" s="130"/>
      <c r="H297" s="130">
        <f>(B297-B296)/100*0.4</f>
        <v>432.23635600000017</v>
      </c>
      <c r="I297" s="130"/>
      <c r="J297" s="132">
        <f>(912000-B296)/100*2.9</f>
        <v>1025.5717904999988</v>
      </c>
      <c r="K297" s="132"/>
      <c r="L297" s="132"/>
      <c r="M297" s="130">
        <f>(B297-B296)/100*5.1</f>
        <v>5511.013539000001</v>
      </c>
      <c r="N297" s="130"/>
      <c r="O297" s="130"/>
      <c r="P297" s="114">
        <f>M297+J297+H297+D297</f>
        <v>30741.82126550001</v>
      </c>
      <c r="Q297" s="126"/>
      <c r="R297" s="130">
        <f>R296+P297</f>
        <v>297238.9997375001</v>
      </c>
      <c r="S297" s="115"/>
    </row>
    <row r="298" spans="1:19" ht="12.75">
      <c r="A298" s="13">
        <v>11</v>
      </c>
      <c r="B298" s="130">
        <f>I148+B297</f>
        <v>1111314.2165</v>
      </c>
      <c r="C298" s="115"/>
      <c r="D298" s="130">
        <f>(B298-B297)/100*22</f>
        <v>27856.32784</v>
      </c>
      <c r="E298" s="130"/>
      <c r="F298" s="130"/>
      <c r="G298" s="130"/>
      <c r="H298" s="130">
        <f>(B298-B297)/100*0.4</f>
        <v>506.4786880000001</v>
      </c>
      <c r="I298" s="130"/>
      <c r="J298" s="130"/>
      <c r="K298" s="130"/>
      <c r="L298" s="130"/>
      <c r="M298" s="130">
        <f>(B298-B297)/100*5.1</f>
        <v>6457.603272</v>
      </c>
      <c r="N298" s="130"/>
      <c r="O298" s="130"/>
      <c r="P298" s="114">
        <f>M298+H298+D298</f>
        <v>34820.4098</v>
      </c>
      <c r="Q298" s="126"/>
      <c r="R298" s="130">
        <f>R297+P298</f>
        <v>332059.4095375001</v>
      </c>
      <c r="S298" s="115"/>
    </row>
    <row r="299" spans="1:19" ht="13.5" thickBot="1">
      <c r="A299" s="13">
        <v>12</v>
      </c>
      <c r="B299" s="130">
        <f>J148+B298</f>
        <v>1256494.4715</v>
      </c>
      <c r="C299" s="115"/>
      <c r="D299" s="130">
        <f>(B299-B298)/100*22</f>
        <v>31939.65609999998</v>
      </c>
      <c r="E299" s="130"/>
      <c r="F299" s="130"/>
      <c r="G299" s="130"/>
      <c r="H299" s="130">
        <f>(B299-B298)/100*0.4</f>
        <v>580.7210199999996</v>
      </c>
      <c r="I299" s="130"/>
      <c r="J299" s="130"/>
      <c r="K299" s="130"/>
      <c r="L299" s="130"/>
      <c r="M299" s="130">
        <f>(B299-B298)/100*5.1</f>
        <v>7404.193004999995</v>
      </c>
      <c r="N299" s="130"/>
      <c r="O299" s="130"/>
      <c r="P299" s="114">
        <f>M299+H299+F299+D299</f>
        <v>39924.57012499997</v>
      </c>
      <c r="Q299" s="126"/>
      <c r="R299" s="130">
        <f>R298+P299</f>
        <v>371983.9796625001</v>
      </c>
      <c r="S299" s="115"/>
    </row>
    <row r="300" spans="1:19" ht="13.5" thickBot="1">
      <c r="A300" s="134" t="s">
        <v>90</v>
      </c>
      <c r="B300" s="135"/>
      <c r="C300" s="135"/>
      <c r="D300" s="135"/>
      <c r="E300" s="135"/>
      <c r="F300" s="135"/>
      <c r="G300" s="135"/>
      <c r="H300" s="135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  <c r="S300" s="136"/>
    </row>
    <row r="301" spans="1:19" ht="12.75">
      <c r="A301" s="17">
        <v>1</v>
      </c>
      <c r="B301" s="132">
        <f>K148</f>
        <v>145180.255</v>
      </c>
      <c r="C301" s="133"/>
      <c r="D301" s="132">
        <f>B301/100*22</f>
        <v>31939.656100000004</v>
      </c>
      <c r="E301" s="132"/>
      <c r="F301" s="133"/>
      <c r="G301" s="133"/>
      <c r="H301" s="132">
        <f>B301/100*0.4</f>
        <v>580.7210200000001</v>
      </c>
      <c r="I301" s="132"/>
      <c r="J301" s="132">
        <f>B301/100*2.9</f>
        <v>4210.227395</v>
      </c>
      <c r="K301" s="132"/>
      <c r="L301" s="132"/>
      <c r="M301" s="132">
        <f>B301/100*5.1</f>
        <v>7404.193005</v>
      </c>
      <c r="N301" s="132"/>
      <c r="O301" s="132"/>
      <c r="P301" s="114">
        <f aca="true" t="shared" si="126" ref="P301:P308">M301+J301+H301+D301</f>
        <v>44134.79752000001</v>
      </c>
      <c r="Q301" s="126"/>
      <c r="R301" s="132">
        <f>P301</f>
        <v>44134.79752000001</v>
      </c>
      <c r="S301" s="133"/>
    </row>
    <row r="302" spans="1:19" ht="12.75">
      <c r="A302" s="13">
        <v>2</v>
      </c>
      <c r="B302" s="130">
        <f>L148+B301</f>
        <v>290360.51</v>
      </c>
      <c r="C302" s="115"/>
      <c r="D302" s="130">
        <f aca="true" t="shared" si="127" ref="D302:D308">(B302-B301)/100*22</f>
        <v>31939.656100000004</v>
      </c>
      <c r="E302" s="130"/>
      <c r="F302" s="115"/>
      <c r="G302" s="115"/>
      <c r="H302" s="130">
        <f aca="true" t="shared" si="128" ref="H302:H308">(B302-B301)/100*0.4</f>
        <v>580.7210200000001</v>
      </c>
      <c r="I302" s="130"/>
      <c r="J302" s="130">
        <f aca="true" t="shared" si="129" ref="J302:J308">(B302-B301)/100*2.9</f>
        <v>4210.227395</v>
      </c>
      <c r="K302" s="130"/>
      <c r="L302" s="130"/>
      <c r="M302" s="130">
        <f aca="true" t="shared" si="130" ref="M302:M308">(B302-B301)/100*5.1</f>
        <v>7404.193005</v>
      </c>
      <c r="N302" s="130"/>
      <c r="O302" s="130"/>
      <c r="P302" s="114">
        <f t="shared" si="126"/>
        <v>44134.79752000001</v>
      </c>
      <c r="Q302" s="126"/>
      <c r="R302" s="130">
        <f aca="true" t="shared" si="131" ref="R302:R308">R301+P302</f>
        <v>88269.59504000001</v>
      </c>
      <c r="S302" s="115"/>
    </row>
    <row r="303" spans="1:19" ht="12.75">
      <c r="A303" s="13">
        <v>3</v>
      </c>
      <c r="B303" s="130">
        <f>M148+B302</f>
        <v>410793.321</v>
      </c>
      <c r="C303" s="115"/>
      <c r="D303" s="130">
        <f t="shared" si="127"/>
        <v>26495.218419999997</v>
      </c>
      <c r="E303" s="130"/>
      <c r="F303" s="115"/>
      <c r="G303" s="115"/>
      <c r="H303" s="130">
        <f t="shared" si="128"/>
        <v>481.731244</v>
      </c>
      <c r="I303" s="130"/>
      <c r="J303" s="130">
        <f t="shared" si="129"/>
        <v>3492.5515189999996</v>
      </c>
      <c r="K303" s="130"/>
      <c r="L303" s="130"/>
      <c r="M303" s="130">
        <f t="shared" si="130"/>
        <v>6142.073360999999</v>
      </c>
      <c r="N303" s="130"/>
      <c r="O303" s="130"/>
      <c r="P303" s="114">
        <f t="shared" si="126"/>
        <v>36611.574543999996</v>
      </c>
      <c r="Q303" s="126"/>
      <c r="R303" s="130">
        <f t="shared" si="131"/>
        <v>124881.16958400002</v>
      </c>
      <c r="S303" s="115"/>
    </row>
    <row r="304" spans="1:19" ht="12.75">
      <c r="A304" s="13">
        <v>4</v>
      </c>
      <c r="B304" s="130">
        <f>N148+B303</f>
        <v>534319.5625</v>
      </c>
      <c r="C304" s="115"/>
      <c r="D304" s="130">
        <f t="shared" si="127"/>
        <v>27175.77313</v>
      </c>
      <c r="E304" s="130"/>
      <c r="F304" s="115"/>
      <c r="G304" s="115"/>
      <c r="H304" s="130">
        <f t="shared" si="128"/>
        <v>494.1049660000001</v>
      </c>
      <c r="I304" s="130"/>
      <c r="J304" s="130">
        <f t="shared" si="129"/>
        <v>3582.2610035000002</v>
      </c>
      <c r="K304" s="130"/>
      <c r="L304" s="130"/>
      <c r="M304" s="130">
        <f t="shared" si="130"/>
        <v>6299.8383165000005</v>
      </c>
      <c r="N304" s="130"/>
      <c r="O304" s="130"/>
      <c r="P304" s="114">
        <f t="shared" si="126"/>
        <v>37551.977416</v>
      </c>
      <c r="Q304" s="126"/>
      <c r="R304" s="130">
        <f t="shared" si="131"/>
        <v>162433.14700000003</v>
      </c>
      <c r="S304" s="115"/>
    </row>
    <row r="305" spans="1:19" ht="12.75">
      <c r="A305" s="13">
        <v>5</v>
      </c>
      <c r="B305" s="130">
        <f>O148+B304</f>
        <v>586696.9025</v>
      </c>
      <c r="C305" s="115"/>
      <c r="D305" s="130">
        <f t="shared" si="127"/>
        <v>11523.014799999994</v>
      </c>
      <c r="E305" s="130"/>
      <c r="F305" s="115"/>
      <c r="G305" s="115"/>
      <c r="H305" s="130">
        <f t="shared" si="128"/>
        <v>209.5093599999999</v>
      </c>
      <c r="I305" s="130"/>
      <c r="J305" s="130">
        <f t="shared" si="129"/>
        <v>1518.942859999999</v>
      </c>
      <c r="K305" s="130"/>
      <c r="L305" s="130"/>
      <c r="M305" s="130">
        <f t="shared" si="130"/>
        <v>2671.2443399999984</v>
      </c>
      <c r="N305" s="130"/>
      <c r="O305" s="130"/>
      <c r="P305" s="114">
        <f t="shared" si="126"/>
        <v>15922.71135999999</v>
      </c>
      <c r="Q305" s="126"/>
      <c r="R305" s="130">
        <f t="shared" si="131"/>
        <v>178355.85836</v>
      </c>
      <c r="S305" s="115"/>
    </row>
    <row r="306" spans="1:19" ht="12.75">
      <c r="A306" s="13">
        <v>6</v>
      </c>
      <c r="B306" s="130">
        <f>P148+B305</f>
        <v>651447.9645</v>
      </c>
      <c r="C306" s="115"/>
      <c r="D306" s="130">
        <f t="shared" si="127"/>
        <v>14245.233640000008</v>
      </c>
      <c r="E306" s="130"/>
      <c r="F306" s="130"/>
      <c r="G306" s="130"/>
      <c r="H306" s="130">
        <f t="shared" si="128"/>
        <v>259.00424800000013</v>
      </c>
      <c r="I306" s="130"/>
      <c r="J306" s="130">
        <f t="shared" si="129"/>
        <v>1877.780798000001</v>
      </c>
      <c r="K306" s="130"/>
      <c r="L306" s="130"/>
      <c r="M306" s="130">
        <f t="shared" si="130"/>
        <v>3302.3041620000017</v>
      </c>
      <c r="N306" s="130"/>
      <c r="O306" s="130"/>
      <c r="P306" s="114">
        <f t="shared" si="126"/>
        <v>19684.32284800001</v>
      </c>
      <c r="Q306" s="126"/>
      <c r="R306" s="130">
        <f t="shared" si="131"/>
        <v>198040.18120800002</v>
      </c>
      <c r="S306" s="115"/>
    </row>
    <row r="307" spans="1:19" ht="12.75">
      <c r="A307" s="13">
        <v>7</v>
      </c>
      <c r="B307" s="130">
        <f>Q148+B306</f>
        <v>716199.0265</v>
      </c>
      <c r="C307" s="115"/>
      <c r="D307" s="130">
        <f t="shared" si="127"/>
        <v>14245.233640000008</v>
      </c>
      <c r="E307" s="130"/>
      <c r="F307" s="130"/>
      <c r="G307" s="130"/>
      <c r="H307" s="130">
        <f t="shared" si="128"/>
        <v>259.00424800000013</v>
      </c>
      <c r="I307" s="130"/>
      <c r="J307" s="130">
        <f t="shared" si="129"/>
        <v>1877.780798000001</v>
      </c>
      <c r="K307" s="130"/>
      <c r="L307" s="130"/>
      <c r="M307" s="130">
        <f t="shared" si="130"/>
        <v>3302.3041620000017</v>
      </c>
      <c r="N307" s="130"/>
      <c r="O307" s="130"/>
      <c r="P307" s="114">
        <f t="shared" si="126"/>
        <v>19684.32284800001</v>
      </c>
      <c r="Q307" s="126"/>
      <c r="R307" s="130">
        <f t="shared" si="131"/>
        <v>217724.50405600003</v>
      </c>
      <c r="S307" s="115"/>
    </row>
    <row r="308" spans="1:19" ht="13.5" thickBot="1">
      <c r="A308" s="18">
        <v>8</v>
      </c>
      <c r="B308" s="144">
        <f>R148+B307</f>
        <v>802604.1020000001</v>
      </c>
      <c r="C308" s="145"/>
      <c r="D308" s="130">
        <f t="shared" si="127"/>
        <v>19009.11661000001</v>
      </c>
      <c r="E308" s="130"/>
      <c r="F308" s="144"/>
      <c r="G308" s="144"/>
      <c r="H308" s="130">
        <f t="shared" si="128"/>
        <v>345.62030200000015</v>
      </c>
      <c r="I308" s="130"/>
      <c r="J308" s="130">
        <f t="shared" si="129"/>
        <v>2505.747189500001</v>
      </c>
      <c r="K308" s="130"/>
      <c r="L308" s="130"/>
      <c r="M308" s="130">
        <f t="shared" si="130"/>
        <v>4406.658850500002</v>
      </c>
      <c r="N308" s="130"/>
      <c r="O308" s="130"/>
      <c r="P308" s="142">
        <f t="shared" si="126"/>
        <v>26267.14295200001</v>
      </c>
      <c r="Q308" s="143"/>
      <c r="R308" s="144">
        <f t="shared" si="131"/>
        <v>243991.64700800006</v>
      </c>
      <c r="S308" s="145"/>
    </row>
    <row r="309" spans="1:19" ht="13.5" thickBot="1">
      <c r="A309" s="134" t="s">
        <v>99</v>
      </c>
      <c r="B309" s="135"/>
      <c r="C309" s="135"/>
      <c r="D309" s="135"/>
      <c r="E309" s="135"/>
      <c r="F309" s="135"/>
      <c r="G309" s="135"/>
      <c r="H309" s="135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  <c r="S309" s="136"/>
    </row>
    <row r="310" spans="1:19" ht="12.75">
      <c r="A310" s="17">
        <v>9</v>
      </c>
      <c r="B310" s="132">
        <f>G156+B308</f>
        <v>876635.4555</v>
      </c>
      <c r="C310" s="133"/>
      <c r="D310" s="132">
        <f>(B310-B308)/100*22</f>
        <v>16286.897769999992</v>
      </c>
      <c r="E310" s="132"/>
      <c r="F310" s="133"/>
      <c r="G310" s="133"/>
      <c r="H310" s="132">
        <f>(B310-B308)/100*0.4</f>
        <v>296.12541399999986</v>
      </c>
      <c r="I310" s="132"/>
      <c r="J310" s="132">
        <f>(B310-B308)/100*2.9</f>
        <v>2146.909251499999</v>
      </c>
      <c r="K310" s="132"/>
      <c r="L310" s="132"/>
      <c r="M310" s="132">
        <f>(B310-B308)/100*5.1</f>
        <v>3775.599028499998</v>
      </c>
      <c r="N310" s="132"/>
      <c r="O310" s="132"/>
      <c r="P310" s="137">
        <f>M310+J310+H310+D310</f>
        <v>22505.53146399999</v>
      </c>
      <c r="Q310" s="138"/>
      <c r="R310" s="132">
        <f>P310+R308</f>
        <v>266497.17847200006</v>
      </c>
      <c r="S310" s="133"/>
    </row>
    <row r="311" spans="1:19" ht="12.75">
      <c r="A311" s="13">
        <v>10</v>
      </c>
      <c r="B311" s="130">
        <f>H148+B310</f>
        <v>984694.5445000001</v>
      </c>
      <c r="C311" s="115"/>
      <c r="D311" s="130">
        <f>(B311-B310)/100*22</f>
        <v>23772.99958000001</v>
      </c>
      <c r="E311" s="130"/>
      <c r="F311" s="130"/>
      <c r="G311" s="130"/>
      <c r="H311" s="130">
        <f>(B311-B310)/100*0.4</f>
        <v>432.23635600000017</v>
      </c>
      <c r="I311" s="130"/>
      <c r="J311" s="132">
        <f>(912000-B310)/100*2.9</f>
        <v>1025.5717904999988</v>
      </c>
      <c r="K311" s="132"/>
      <c r="L311" s="132"/>
      <c r="M311" s="130">
        <f>(B311-B310)/100*5.1</f>
        <v>5511.013539000001</v>
      </c>
      <c r="N311" s="130"/>
      <c r="O311" s="130"/>
      <c r="P311" s="114">
        <f>M311+J311+H311+D311</f>
        <v>30741.82126550001</v>
      </c>
      <c r="Q311" s="126"/>
      <c r="R311" s="130">
        <f>R310+P311</f>
        <v>297238.9997375001</v>
      </c>
      <c r="S311" s="115"/>
    </row>
    <row r="312" spans="1:19" ht="12.75">
      <c r="A312" s="13">
        <v>11</v>
      </c>
      <c r="B312" s="130">
        <f>I156+B311</f>
        <v>1111314.2165</v>
      </c>
      <c r="C312" s="115"/>
      <c r="D312" s="130">
        <f>(B312-B311)/100*22</f>
        <v>27856.32784</v>
      </c>
      <c r="E312" s="130"/>
      <c r="F312" s="130"/>
      <c r="G312" s="130"/>
      <c r="H312" s="130">
        <f>(B312-B311)/100*0.4</f>
        <v>506.4786880000001</v>
      </c>
      <c r="I312" s="130"/>
      <c r="J312" s="130"/>
      <c r="K312" s="130"/>
      <c r="L312" s="130"/>
      <c r="M312" s="130">
        <f>(B312-B311)/100*5.1</f>
        <v>6457.603272</v>
      </c>
      <c r="N312" s="130"/>
      <c r="O312" s="130"/>
      <c r="P312" s="114">
        <f>M312+H312+D312</f>
        <v>34820.4098</v>
      </c>
      <c r="Q312" s="126"/>
      <c r="R312" s="130">
        <f>R311+P312</f>
        <v>332059.4095375001</v>
      </c>
      <c r="S312" s="115"/>
    </row>
    <row r="313" spans="1:19" ht="13.5" thickBot="1">
      <c r="A313" s="13">
        <v>12</v>
      </c>
      <c r="B313" s="130">
        <f>J156+B312</f>
        <v>1256494.4715</v>
      </c>
      <c r="C313" s="115"/>
      <c r="D313" s="130">
        <f>(B313-B312)/100*22</f>
        <v>31939.65609999998</v>
      </c>
      <c r="E313" s="130"/>
      <c r="F313" s="130"/>
      <c r="G313" s="130"/>
      <c r="H313" s="130">
        <f>(B313-B312)/100*0.4</f>
        <v>580.7210199999996</v>
      </c>
      <c r="I313" s="130"/>
      <c r="J313" s="130"/>
      <c r="K313" s="130"/>
      <c r="L313" s="130"/>
      <c r="M313" s="130">
        <f>(B313-B312)/100*5.1</f>
        <v>7404.193004999995</v>
      </c>
      <c r="N313" s="130"/>
      <c r="O313" s="130"/>
      <c r="P313" s="114">
        <f>M313+H313+F313+D313</f>
        <v>39924.57012499997</v>
      </c>
      <c r="Q313" s="126"/>
      <c r="R313" s="130">
        <f>R312+P313</f>
        <v>371983.9796625001</v>
      </c>
      <c r="S313" s="115"/>
    </row>
    <row r="314" spans="1:19" ht="13.5" thickBot="1">
      <c r="A314" s="134" t="s">
        <v>90</v>
      </c>
      <c r="B314" s="135"/>
      <c r="C314" s="135"/>
      <c r="D314" s="135"/>
      <c r="E314" s="135"/>
      <c r="F314" s="135"/>
      <c r="G314" s="135"/>
      <c r="H314" s="135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  <c r="S314" s="136"/>
    </row>
    <row r="315" spans="1:19" ht="12.75">
      <c r="A315" s="17">
        <v>1</v>
      </c>
      <c r="B315" s="132">
        <f>K156</f>
        <v>145180.255</v>
      </c>
      <c r="C315" s="133"/>
      <c r="D315" s="132">
        <f>B315/100*22</f>
        <v>31939.656100000004</v>
      </c>
      <c r="E315" s="132"/>
      <c r="F315" s="133"/>
      <c r="G315" s="133"/>
      <c r="H315" s="132">
        <f>B315/100*0.4</f>
        <v>580.7210200000001</v>
      </c>
      <c r="I315" s="132"/>
      <c r="J315" s="132">
        <f>B315/100*2.9</f>
        <v>4210.227395</v>
      </c>
      <c r="K315" s="132"/>
      <c r="L315" s="132"/>
      <c r="M315" s="132">
        <f>B315/100*5.1</f>
        <v>7404.193005</v>
      </c>
      <c r="N315" s="132"/>
      <c r="O315" s="132"/>
      <c r="P315" s="114">
        <f aca="true" t="shared" si="132" ref="P315:P322">M315+J315+H315+D315</f>
        <v>44134.79752000001</v>
      </c>
      <c r="Q315" s="126"/>
      <c r="R315" s="132">
        <f>P315</f>
        <v>44134.79752000001</v>
      </c>
      <c r="S315" s="133"/>
    </row>
    <row r="316" spans="1:19" ht="12.75">
      <c r="A316" s="13">
        <v>2</v>
      </c>
      <c r="B316" s="130">
        <f>L156+B315</f>
        <v>290360.51</v>
      </c>
      <c r="C316" s="115"/>
      <c r="D316" s="130">
        <f aca="true" t="shared" si="133" ref="D316:D322">(B316-B315)/100*22</f>
        <v>31939.656100000004</v>
      </c>
      <c r="E316" s="130"/>
      <c r="F316" s="115"/>
      <c r="G316" s="115"/>
      <c r="H316" s="130">
        <f aca="true" t="shared" si="134" ref="H316:H322">(B316-B315)/100*0.4</f>
        <v>580.7210200000001</v>
      </c>
      <c r="I316" s="130"/>
      <c r="J316" s="130">
        <f aca="true" t="shared" si="135" ref="J316:J322">(B316-B315)/100*2.9</f>
        <v>4210.227395</v>
      </c>
      <c r="K316" s="130"/>
      <c r="L316" s="130"/>
      <c r="M316" s="130">
        <f aca="true" t="shared" si="136" ref="M316:M322">(B316-B315)/100*5.1</f>
        <v>7404.193005</v>
      </c>
      <c r="N316" s="130"/>
      <c r="O316" s="130"/>
      <c r="P316" s="114">
        <f t="shared" si="132"/>
        <v>44134.79752000001</v>
      </c>
      <c r="Q316" s="126"/>
      <c r="R316" s="130">
        <f aca="true" t="shared" si="137" ref="R316:R322">R315+P316</f>
        <v>88269.59504000001</v>
      </c>
      <c r="S316" s="115"/>
    </row>
    <row r="317" spans="1:19" ht="12.75">
      <c r="A317" s="13">
        <v>3</v>
      </c>
      <c r="B317" s="130">
        <f>M156+B316</f>
        <v>413886.7515</v>
      </c>
      <c r="C317" s="115"/>
      <c r="D317" s="130">
        <f t="shared" si="133"/>
        <v>27175.77313</v>
      </c>
      <c r="E317" s="130"/>
      <c r="F317" s="115"/>
      <c r="G317" s="115"/>
      <c r="H317" s="130">
        <f t="shared" si="134"/>
        <v>494.1049660000001</v>
      </c>
      <c r="I317" s="130"/>
      <c r="J317" s="130">
        <f t="shared" si="135"/>
        <v>3582.2610035000002</v>
      </c>
      <c r="K317" s="130"/>
      <c r="L317" s="130"/>
      <c r="M317" s="130">
        <f t="shared" si="136"/>
        <v>6299.8383165000005</v>
      </c>
      <c r="N317" s="130"/>
      <c r="O317" s="130"/>
      <c r="P317" s="114">
        <f t="shared" si="132"/>
        <v>37551.977416</v>
      </c>
      <c r="Q317" s="126"/>
      <c r="R317" s="130">
        <f t="shared" si="137"/>
        <v>125821.57245600002</v>
      </c>
      <c r="S317" s="115"/>
    </row>
    <row r="318" spans="1:19" ht="12.75">
      <c r="A318" s="13">
        <v>4</v>
      </c>
      <c r="B318" s="130">
        <f>N156+B317</f>
        <v>537412.993</v>
      </c>
      <c r="C318" s="115"/>
      <c r="D318" s="130">
        <f t="shared" si="133"/>
        <v>27175.77313</v>
      </c>
      <c r="E318" s="130"/>
      <c r="F318" s="115"/>
      <c r="G318" s="115"/>
      <c r="H318" s="130">
        <f t="shared" si="134"/>
        <v>494.1049660000001</v>
      </c>
      <c r="I318" s="130"/>
      <c r="J318" s="130">
        <f t="shared" si="135"/>
        <v>3582.2610035000002</v>
      </c>
      <c r="K318" s="130"/>
      <c r="L318" s="130"/>
      <c r="M318" s="130">
        <f t="shared" si="136"/>
        <v>6299.8383165000005</v>
      </c>
      <c r="N318" s="130"/>
      <c r="O318" s="130"/>
      <c r="P318" s="114">
        <f t="shared" si="132"/>
        <v>37551.977416</v>
      </c>
      <c r="Q318" s="126"/>
      <c r="R318" s="130">
        <f t="shared" si="137"/>
        <v>163373.54987200003</v>
      </c>
      <c r="S318" s="115"/>
    </row>
    <row r="319" spans="1:19" ht="12.75">
      <c r="A319" s="13">
        <v>5</v>
      </c>
      <c r="B319" s="130">
        <f>O156+B318</f>
        <v>589790.333</v>
      </c>
      <c r="C319" s="115"/>
      <c r="D319" s="130">
        <f t="shared" si="133"/>
        <v>11523.014799999994</v>
      </c>
      <c r="E319" s="130"/>
      <c r="F319" s="115"/>
      <c r="G319" s="115"/>
      <c r="H319" s="130">
        <f t="shared" si="134"/>
        <v>209.5093599999999</v>
      </c>
      <c r="I319" s="130"/>
      <c r="J319" s="130">
        <f t="shared" si="135"/>
        <v>1518.942859999999</v>
      </c>
      <c r="K319" s="130"/>
      <c r="L319" s="130"/>
      <c r="M319" s="130">
        <f t="shared" si="136"/>
        <v>2671.2443399999984</v>
      </c>
      <c r="N319" s="130"/>
      <c r="O319" s="130"/>
      <c r="P319" s="114">
        <f t="shared" si="132"/>
        <v>15922.71135999999</v>
      </c>
      <c r="Q319" s="126"/>
      <c r="R319" s="130">
        <f t="shared" si="137"/>
        <v>179296.26123200002</v>
      </c>
      <c r="S319" s="115"/>
    </row>
    <row r="320" spans="1:19" ht="12.75">
      <c r="A320" s="13">
        <v>6</v>
      </c>
      <c r="B320" s="130">
        <f>P156+B319</f>
        <v>651447.9645</v>
      </c>
      <c r="C320" s="115"/>
      <c r="D320" s="130">
        <f t="shared" si="133"/>
        <v>13564.678930000004</v>
      </c>
      <c r="E320" s="130"/>
      <c r="F320" s="130"/>
      <c r="G320" s="130"/>
      <c r="H320" s="130">
        <f t="shared" si="134"/>
        <v>246.63052600000006</v>
      </c>
      <c r="I320" s="130"/>
      <c r="J320" s="130">
        <f t="shared" si="135"/>
        <v>1788.0713135000003</v>
      </c>
      <c r="K320" s="130"/>
      <c r="L320" s="130"/>
      <c r="M320" s="130">
        <f t="shared" si="136"/>
        <v>3144.5392065000005</v>
      </c>
      <c r="N320" s="130"/>
      <c r="O320" s="130"/>
      <c r="P320" s="114">
        <f t="shared" si="132"/>
        <v>18743.919976000005</v>
      </c>
      <c r="Q320" s="126"/>
      <c r="R320" s="130">
        <f t="shared" si="137"/>
        <v>198040.18120800002</v>
      </c>
      <c r="S320" s="115"/>
    </row>
    <row r="321" spans="1:19" ht="12.75">
      <c r="A321" s="13">
        <v>7</v>
      </c>
      <c r="B321" s="130">
        <f>Q156+B320</f>
        <v>716199.0265</v>
      </c>
      <c r="C321" s="115"/>
      <c r="D321" s="130">
        <f t="shared" si="133"/>
        <v>14245.233640000008</v>
      </c>
      <c r="E321" s="130"/>
      <c r="F321" s="130"/>
      <c r="G321" s="130"/>
      <c r="H321" s="130">
        <f t="shared" si="134"/>
        <v>259.00424800000013</v>
      </c>
      <c r="I321" s="130"/>
      <c r="J321" s="130">
        <f t="shared" si="135"/>
        <v>1877.780798000001</v>
      </c>
      <c r="K321" s="130"/>
      <c r="L321" s="130"/>
      <c r="M321" s="130">
        <f t="shared" si="136"/>
        <v>3302.3041620000017</v>
      </c>
      <c r="N321" s="130"/>
      <c r="O321" s="130"/>
      <c r="P321" s="114">
        <f t="shared" si="132"/>
        <v>19684.32284800001</v>
      </c>
      <c r="Q321" s="126"/>
      <c r="R321" s="130">
        <f t="shared" si="137"/>
        <v>217724.50405600003</v>
      </c>
      <c r="S321" s="115"/>
    </row>
    <row r="322" spans="1:19" ht="13.5" thickBot="1">
      <c r="A322" s="18">
        <v>8</v>
      </c>
      <c r="B322" s="144">
        <f>R156+B321</f>
        <v>802604.1020000001</v>
      </c>
      <c r="C322" s="145"/>
      <c r="D322" s="130">
        <f t="shared" si="133"/>
        <v>19009.11661000001</v>
      </c>
      <c r="E322" s="130"/>
      <c r="F322" s="144"/>
      <c r="G322" s="144"/>
      <c r="H322" s="130">
        <f t="shared" si="134"/>
        <v>345.62030200000015</v>
      </c>
      <c r="I322" s="130"/>
      <c r="J322" s="130">
        <f t="shared" si="135"/>
        <v>2505.747189500001</v>
      </c>
      <c r="K322" s="130"/>
      <c r="L322" s="130"/>
      <c r="M322" s="130">
        <f t="shared" si="136"/>
        <v>4406.658850500002</v>
      </c>
      <c r="N322" s="130"/>
      <c r="O322" s="130"/>
      <c r="P322" s="142">
        <f t="shared" si="132"/>
        <v>26267.14295200001</v>
      </c>
      <c r="Q322" s="143"/>
      <c r="R322" s="144">
        <f t="shared" si="137"/>
        <v>243991.64700800006</v>
      </c>
      <c r="S322" s="145"/>
    </row>
    <row r="323" spans="1:19" ht="13.5" thickBot="1">
      <c r="A323" s="134" t="s">
        <v>100</v>
      </c>
      <c r="B323" s="135"/>
      <c r="C323" s="135"/>
      <c r="D323" s="135"/>
      <c r="E323" s="135"/>
      <c r="F323" s="135"/>
      <c r="G323" s="135"/>
      <c r="H323" s="135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  <c r="S323" s="136"/>
    </row>
    <row r="324" spans="1:19" ht="12.75">
      <c r="A324" s="17">
        <v>9</v>
      </c>
      <c r="B324" s="132">
        <f>G164+B322</f>
        <v>876635.4555</v>
      </c>
      <c r="C324" s="133"/>
      <c r="D324" s="132">
        <f>(B324-B322)/100*22</f>
        <v>16286.897769999992</v>
      </c>
      <c r="E324" s="132"/>
      <c r="F324" s="133"/>
      <c r="G324" s="133"/>
      <c r="H324" s="132">
        <f>(B324-B322)/100*0.4</f>
        <v>296.12541399999986</v>
      </c>
      <c r="I324" s="132"/>
      <c r="J324" s="132">
        <f>(B324-B322)/100*2.9</f>
        <v>2146.909251499999</v>
      </c>
      <c r="K324" s="132"/>
      <c r="L324" s="132"/>
      <c r="M324" s="132">
        <f>(B324-B322)/100*5.1</f>
        <v>3775.599028499998</v>
      </c>
      <c r="N324" s="132"/>
      <c r="O324" s="132"/>
      <c r="P324" s="137">
        <f>M324+J324+H324+D324</f>
        <v>22505.53146399999</v>
      </c>
      <c r="Q324" s="138"/>
      <c r="R324" s="132">
        <f>P324+R322</f>
        <v>266497.17847200006</v>
      </c>
      <c r="S324" s="133"/>
    </row>
    <row r="325" spans="1:19" ht="12.75">
      <c r="A325" s="13">
        <v>10</v>
      </c>
      <c r="B325" s="130">
        <f>H164+B324</f>
        <v>984694.5445000001</v>
      </c>
      <c r="C325" s="115"/>
      <c r="D325" s="130">
        <f>(B325-B324)/100*22</f>
        <v>23772.99958000001</v>
      </c>
      <c r="E325" s="130"/>
      <c r="F325" s="130"/>
      <c r="G325" s="130"/>
      <c r="H325" s="130">
        <f>(B325-B324)/100*0.4</f>
        <v>432.23635600000017</v>
      </c>
      <c r="I325" s="130"/>
      <c r="J325" s="132">
        <f>(912000-B324)/100*2.9</f>
        <v>1025.5717904999988</v>
      </c>
      <c r="K325" s="132"/>
      <c r="L325" s="132"/>
      <c r="M325" s="130">
        <f>(B325-B324)/100*5.1</f>
        <v>5511.013539000001</v>
      </c>
      <c r="N325" s="130"/>
      <c r="O325" s="130"/>
      <c r="P325" s="114">
        <f>M325+J325+H325+D325</f>
        <v>30741.82126550001</v>
      </c>
      <c r="Q325" s="126"/>
      <c r="R325" s="130">
        <f>R324+P325</f>
        <v>297238.9997375001</v>
      </c>
      <c r="S325" s="115"/>
    </row>
    <row r="326" spans="1:19" ht="12.75">
      <c r="A326" s="13">
        <v>11</v>
      </c>
      <c r="B326" s="130">
        <f>I164+B325</f>
        <v>1111314.2165</v>
      </c>
      <c r="C326" s="115"/>
      <c r="D326" s="130">
        <f>(B326-B325)/100*22</f>
        <v>27856.32784</v>
      </c>
      <c r="E326" s="130"/>
      <c r="F326" s="130"/>
      <c r="G326" s="130"/>
      <c r="H326" s="130">
        <f>(B326-B325)/100*0.4</f>
        <v>506.4786880000001</v>
      </c>
      <c r="I326" s="130"/>
      <c r="J326" s="130"/>
      <c r="K326" s="130"/>
      <c r="L326" s="130"/>
      <c r="M326" s="130">
        <f>(B326-B325)/100*5.1</f>
        <v>6457.603272</v>
      </c>
      <c r="N326" s="130"/>
      <c r="O326" s="130"/>
      <c r="P326" s="114">
        <f>M326+H326+D326</f>
        <v>34820.4098</v>
      </c>
      <c r="Q326" s="126"/>
      <c r="R326" s="130">
        <f>R325+P326</f>
        <v>332059.4095375001</v>
      </c>
      <c r="S326" s="115"/>
    </row>
    <row r="327" spans="1:19" ht="13.5" thickBot="1">
      <c r="A327" s="13">
        <v>12</v>
      </c>
      <c r="B327" s="130">
        <f>J164+B326</f>
        <v>1256494.4715</v>
      </c>
      <c r="C327" s="115"/>
      <c r="D327" s="130">
        <f>(B327-B326)/100*22</f>
        <v>31939.65609999998</v>
      </c>
      <c r="E327" s="130"/>
      <c r="F327" s="130"/>
      <c r="G327" s="130"/>
      <c r="H327" s="130">
        <f>(B327-B326)/100*0.4</f>
        <v>580.7210199999996</v>
      </c>
      <c r="I327" s="130"/>
      <c r="J327" s="130"/>
      <c r="K327" s="130"/>
      <c r="L327" s="130"/>
      <c r="M327" s="130">
        <f>(B327-B326)/100*5.1</f>
        <v>7404.193004999995</v>
      </c>
      <c r="N327" s="130"/>
      <c r="O327" s="130"/>
      <c r="P327" s="114">
        <f>M327+H327+F327+D327</f>
        <v>39924.57012499997</v>
      </c>
      <c r="Q327" s="126"/>
      <c r="R327" s="130">
        <f>R326+P327</f>
        <v>371983.9796625001</v>
      </c>
      <c r="S327" s="115"/>
    </row>
    <row r="328" spans="1:19" ht="13.5" thickBot="1">
      <c r="A328" s="134" t="s">
        <v>90</v>
      </c>
      <c r="B328" s="135"/>
      <c r="C328" s="135"/>
      <c r="D328" s="135"/>
      <c r="E328" s="135"/>
      <c r="F328" s="135"/>
      <c r="G328" s="135"/>
      <c r="H328" s="135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  <c r="S328" s="136"/>
    </row>
    <row r="329" spans="1:19" ht="12.75">
      <c r="A329" s="17">
        <v>1</v>
      </c>
      <c r="B329" s="132">
        <f>K164</f>
        <v>145180.255</v>
      </c>
      <c r="C329" s="133"/>
      <c r="D329" s="132">
        <f>B329/100*22</f>
        <v>31939.656100000004</v>
      </c>
      <c r="E329" s="132"/>
      <c r="F329" s="133"/>
      <c r="G329" s="133"/>
      <c r="H329" s="132">
        <f>B329/100*0.4</f>
        <v>580.7210200000001</v>
      </c>
      <c r="I329" s="132"/>
      <c r="J329" s="132">
        <f>B329/100*2.9</f>
        <v>4210.227395</v>
      </c>
      <c r="K329" s="132"/>
      <c r="L329" s="132"/>
      <c r="M329" s="132">
        <f>B329/100*5.1</f>
        <v>7404.193005</v>
      </c>
      <c r="N329" s="132"/>
      <c r="O329" s="132"/>
      <c r="P329" s="114">
        <f aca="true" t="shared" si="138" ref="P329:P336">M329+J329+H329+D329</f>
        <v>44134.79752000001</v>
      </c>
      <c r="Q329" s="126"/>
      <c r="R329" s="132">
        <f>P329</f>
        <v>44134.79752000001</v>
      </c>
      <c r="S329" s="133"/>
    </row>
    <row r="330" spans="1:19" ht="12.75">
      <c r="A330" s="13">
        <v>2</v>
      </c>
      <c r="B330" s="130">
        <f>L164+B329</f>
        <v>290360.51</v>
      </c>
      <c r="C330" s="115"/>
      <c r="D330" s="130">
        <f aca="true" t="shared" si="139" ref="D330:D336">(B330-B329)/100*22</f>
        <v>31939.656100000004</v>
      </c>
      <c r="E330" s="130"/>
      <c r="F330" s="115"/>
      <c r="G330" s="115"/>
      <c r="H330" s="130">
        <f aca="true" t="shared" si="140" ref="H330:H336">(B330-B329)/100*0.4</f>
        <v>580.7210200000001</v>
      </c>
      <c r="I330" s="130"/>
      <c r="J330" s="130">
        <f aca="true" t="shared" si="141" ref="J330:J336">(B330-B329)/100*2.9</f>
        <v>4210.227395</v>
      </c>
      <c r="K330" s="130"/>
      <c r="L330" s="130"/>
      <c r="M330" s="130">
        <f aca="true" t="shared" si="142" ref="M330:M336">(B330-B329)/100*5.1</f>
        <v>7404.193005</v>
      </c>
      <c r="N330" s="130"/>
      <c r="O330" s="130"/>
      <c r="P330" s="114">
        <f t="shared" si="138"/>
        <v>44134.79752000001</v>
      </c>
      <c r="Q330" s="126"/>
      <c r="R330" s="130">
        <f aca="true" t="shared" si="143" ref="R330:R336">R329+P330</f>
        <v>88269.59504000001</v>
      </c>
      <c r="S330" s="115"/>
    </row>
    <row r="331" spans="1:19" ht="12.75">
      <c r="A331" s="13">
        <v>3</v>
      </c>
      <c r="B331" s="130">
        <f>M164+B330</f>
        <v>413886.7515</v>
      </c>
      <c r="C331" s="115"/>
      <c r="D331" s="130">
        <f t="shared" si="139"/>
        <v>27175.77313</v>
      </c>
      <c r="E331" s="130"/>
      <c r="F331" s="115"/>
      <c r="G331" s="115"/>
      <c r="H331" s="130">
        <f t="shared" si="140"/>
        <v>494.1049660000001</v>
      </c>
      <c r="I331" s="130"/>
      <c r="J331" s="130">
        <f t="shared" si="141"/>
        <v>3582.2610035000002</v>
      </c>
      <c r="K331" s="130"/>
      <c r="L331" s="130"/>
      <c r="M331" s="130">
        <f t="shared" si="142"/>
        <v>6299.8383165000005</v>
      </c>
      <c r="N331" s="130"/>
      <c r="O331" s="130"/>
      <c r="P331" s="114">
        <f t="shared" si="138"/>
        <v>37551.977416</v>
      </c>
      <c r="Q331" s="126"/>
      <c r="R331" s="130">
        <f t="shared" si="143"/>
        <v>125821.57245600002</v>
      </c>
      <c r="S331" s="115"/>
    </row>
    <row r="332" spans="1:19" ht="12.75">
      <c r="A332" s="13">
        <v>4</v>
      </c>
      <c r="B332" s="130">
        <f>N164+B331</f>
        <v>537412.993</v>
      </c>
      <c r="C332" s="115"/>
      <c r="D332" s="130">
        <f t="shared" si="139"/>
        <v>27175.77313</v>
      </c>
      <c r="E332" s="130"/>
      <c r="F332" s="115"/>
      <c r="G332" s="115"/>
      <c r="H332" s="130">
        <f t="shared" si="140"/>
        <v>494.1049660000001</v>
      </c>
      <c r="I332" s="130"/>
      <c r="J332" s="130">
        <f t="shared" si="141"/>
        <v>3582.2610035000002</v>
      </c>
      <c r="K332" s="130"/>
      <c r="L332" s="130"/>
      <c r="M332" s="130">
        <f t="shared" si="142"/>
        <v>6299.8383165000005</v>
      </c>
      <c r="N332" s="130"/>
      <c r="O332" s="130"/>
      <c r="P332" s="114">
        <f t="shared" si="138"/>
        <v>37551.977416</v>
      </c>
      <c r="Q332" s="126"/>
      <c r="R332" s="130">
        <f t="shared" si="143"/>
        <v>163373.54987200003</v>
      </c>
      <c r="S332" s="115"/>
    </row>
    <row r="333" spans="1:19" ht="12.75">
      <c r="A333" s="13">
        <v>5</v>
      </c>
      <c r="B333" s="130">
        <f>O164+B332</f>
        <v>589790.333</v>
      </c>
      <c r="C333" s="115"/>
      <c r="D333" s="130">
        <f t="shared" si="139"/>
        <v>11523.014799999994</v>
      </c>
      <c r="E333" s="130"/>
      <c r="F333" s="115"/>
      <c r="G333" s="115"/>
      <c r="H333" s="130">
        <f t="shared" si="140"/>
        <v>209.5093599999999</v>
      </c>
      <c r="I333" s="130"/>
      <c r="J333" s="130">
        <f t="shared" si="141"/>
        <v>1518.942859999999</v>
      </c>
      <c r="K333" s="130"/>
      <c r="L333" s="130"/>
      <c r="M333" s="130">
        <f t="shared" si="142"/>
        <v>2671.2443399999984</v>
      </c>
      <c r="N333" s="130"/>
      <c r="O333" s="130"/>
      <c r="P333" s="114">
        <f t="shared" si="138"/>
        <v>15922.71135999999</v>
      </c>
      <c r="Q333" s="126"/>
      <c r="R333" s="130">
        <f t="shared" si="143"/>
        <v>179296.26123200002</v>
      </c>
      <c r="S333" s="115"/>
    </row>
    <row r="334" spans="1:19" ht="12.75">
      <c r="A334" s="13">
        <v>6</v>
      </c>
      <c r="B334" s="130">
        <f>P164+B333</f>
        <v>651447.9645</v>
      </c>
      <c r="C334" s="115"/>
      <c r="D334" s="130">
        <f t="shared" si="139"/>
        <v>13564.678930000004</v>
      </c>
      <c r="E334" s="130"/>
      <c r="F334" s="130"/>
      <c r="G334" s="130"/>
      <c r="H334" s="130">
        <f t="shared" si="140"/>
        <v>246.63052600000006</v>
      </c>
      <c r="I334" s="130"/>
      <c r="J334" s="130">
        <f t="shared" si="141"/>
        <v>1788.0713135000003</v>
      </c>
      <c r="K334" s="130"/>
      <c r="L334" s="130"/>
      <c r="M334" s="130">
        <f t="shared" si="142"/>
        <v>3144.5392065000005</v>
      </c>
      <c r="N334" s="130"/>
      <c r="O334" s="130"/>
      <c r="P334" s="114">
        <f t="shared" si="138"/>
        <v>18743.919976000005</v>
      </c>
      <c r="Q334" s="126"/>
      <c r="R334" s="130">
        <f t="shared" si="143"/>
        <v>198040.18120800002</v>
      </c>
      <c r="S334" s="115"/>
    </row>
    <row r="335" spans="1:19" ht="12.75">
      <c r="A335" s="13">
        <v>7</v>
      </c>
      <c r="B335" s="130">
        <f>Q164+B334</f>
        <v>716199.0265</v>
      </c>
      <c r="C335" s="115"/>
      <c r="D335" s="130">
        <f t="shared" si="139"/>
        <v>14245.233640000008</v>
      </c>
      <c r="E335" s="130"/>
      <c r="F335" s="130"/>
      <c r="G335" s="130"/>
      <c r="H335" s="130">
        <f t="shared" si="140"/>
        <v>259.00424800000013</v>
      </c>
      <c r="I335" s="130"/>
      <c r="J335" s="130">
        <f t="shared" si="141"/>
        <v>1877.780798000001</v>
      </c>
      <c r="K335" s="130"/>
      <c r="L335" s="130"/>
      <c r="M335" s="130">
        <f t="shared" si="142"/>
        <v>3302.3041620000017</v>
      </c>
      <c r="N335" s="130"/>
      <c r="O335" s="130"/>
      <c r="P335" s="114">
        <f t="shared" si="138"/>
        <v>19684.32284800001</v>
      </c>
      <c r="Q335" s="126"/>
      <c r="R335" s="130">
        <f t="shared" si="143"/>
        <v>217724.50405600003</v>
      </c>
      <c r="S335" s="115"/>
    </row>
    <row r="336" spans="1:19" ht="13.5" thickBot="1">
      <c r="A336" s="18">
        <v>8</v>
      </c>
      <c r="B336" s="144">
        <f>R164+B335</f>
        <v>802604.1020000001</v>
      </c>
      <c r="C336" s="145"/>
      <c r="D336" s="130">
        <f t="shared" si="139"/>
        <v>19009.11661000001</v>
      </c>
      <c r="E336" s="130"/>
      <c r="F336" s="144"/>
      <c r="G336" s="144"/>
      <c r="H336" s="130">
        <f t="shared" si="140"/>
        <v>345.62030200000015</v>
      </c>
      <c r="I336" s="130"/>
      <c r="J336" s="130">
        <f t="shared" si="141"/>
        <v>2505.747189500001</v>
      </c>
      <c r="K336" s="130"/>
      <c r="L336" s="130"/>
      <c r="M336" s="130">
        <f t="shared" si="142"/>
        <v>4406.658850500002</v>
      </c>
      <c r="N336" s="130"/>
      <c r="O336" s="130"/>
      <c r="P336" s="142">
        <f t="shared" si="138"/>
        <v>26267.14295200001</v>
      </c>
      <c r="Q336" s="143"/>
      <c r="R336" s="144">
        <f t="shared" si="143"/>
        <v>243991.64700800006</v>
      </c>
      <c r="S336" s="145"/>
    </row>
    <row r="337" spans="1:19" ht="13.5" thickBot="1">
      <c r="A337" s="134" t="s">
        <v>101</v>
      </c>
      <c r="B337" s="135"/>
      <c r="C337" s="135"/>
      <c r="D337" s="135"/>
      <c r="E337" s="135"/>
      <c r="F337" s="135"/>
      <c r="G337" s="135"/>
      <c r="H337" s="135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  <c r="S337" s="136"/>
    </row>
    <row r="338" spans="1:19" ht="12.75">
      <c r="A338" s="17">
        <v>9</v>
      </c>
      <c r="B338" s="132">
        <f>G172+B336</f>
        <v>879728.886</v>
      </c>
      <c r="C338" s="133"/>
      <c r="D338" s="132">
        <f>(B338-B336)/100*22</f>
        <v>16967.452479999996</v>
      </c>
      <c r="E338" s="132"/>
      <c r="F338" s="133"/>
      <c r="G338" s="133"/>
      <c r="H338" s="132">
        <f>(B338-B336)/100*0.4</f>
        <v>308.49913599999996</v>
      </c>
      <c r="I338" s="132"/>
      <c r="J338" s="132">
        <f>(B338-B336)/100*2.9</f>
        <v>2236.6187359999994</v>
      </c>
      <c r="K338" s="132"/>
      <c r="L338" s="132"/>
      <c r="M338" s="132">
        <f>(B338-B336)/100*5.1</f>
        <v>3933.363983999999</v>
      </c>
      <c r="N338" s="132"/>
      <c r="O338" s="132"/>
      <c r="P338" s="137">
        <f>M338+J338+H338+D338</f>
        <v>23445.934335999995</v>
      </c>
      <c r="Q338" s="138"/>
      <c r="R338" s="132">
        <f>P338+R336</f>
        <v>267437.58134400006</v>
      </c>
      <c r="S338" s="133"/>
    </row>
    <row r="339" spans="1:19" ht="12.75">
      <c r="A339" s="13">
        <v>10</v>
      </c>
      <c r="B339" s="130">
        <f>H172+B338</f>
        <v>984694.5445000001</v>
      </c>
      <c r="C339" s="115"/>
      <c r="D339" s="130">
        <f>(B339-B338)/100*22</f>
        <v>23092.444870000003</v>
      </c>
      <c r="E339" s="130"/>
      <c r="F339" s="130"/>
      <c r="G339" s="130"/>
      <c r="H339" s="130">
        <f>(B339-B338)/100*0.4</f>
        <v>419.86263400000007</v>
      </c>
      <c r="I339" s="130"/>
      <c r="J339" s="132">
        <f>(912000-B338)/100*2.9</f>
        <v>935.8623059999983</v>
      </c>
      <c r="K339" s="132"/>
      <c r="L339" s="132"/>
      <c r="M339" s="130">
        <f>(B339-B338)/100*5.1</f>
        <v>5353.248583500001</v>
      </c>
      <c r="N339" s="130"/>
      <c r="O339" s="130"/>
      <c r="P339" s="114">
        <f>M339+J339+H339+D339</f>
        <v>29801.418393500004</v>
      </c>
      <c r="Q339" s="126"/>
      <c r="R339" s="130">
        <f>R338+P339</f>
        <v>297238.9997375001</v>
      </c>
      <c r="S339" s="115"/>
    </row>
    <row r="340" spans="1:19" ht="12.75">
      <c r="A340" s="13">
        <v>11</v>
      </c>
      <c r="B340" s="130">
        <f>I172+B339</f>
        <v>1111314.2165</v>
      </c>
      <c r="C340" s="115"/>
      <c r="D340" s="130">
        <f>(B340-B339)/100*22</f>
        <v>27856.32784</v>
      </c>
      <c r="E340" s="130"/>
      <c r="F340" s="130"/>
      <c r="G340" s="130"/>
      <c r="H340" s="130">
        <f>(B340-B339)/100*0.4</f>
        <v>506.4786880000001</v>
      </c>
      <c r="I340" s="130"/>
      <c r="J340" s="130"/>
      <c r="K340" s="130"/>
      <c r="L340" s="130"/>
      <c r="M340" s="130">
        <f>(B340-B339)/100*5.1</f>
        <v>6457.603272</v>
      </c>
      <c r="N340" s="130"/>
      <c r="O340" s="130"/>
      <c r="P340" s="114">
        <f>M340+H340+D340</f>
        <v>34820.4098</v>
      </c>
      <c r="Q340" s="126"/>
      <c r="R340" s="130">
        <f>R339+P340</f>
        <v>332059.4095375001</v>
      </c>
      <c r="S340" s="115"/>
    </row>
    <row r="341" spans="1:19" ht="13.5" thickBot="1">
      <c r="A341" s="13">
        <v>12</v>
      </c>
      <c r="B341" s="130">
        <f>J172+B340</f>
        <v>1256494.4715</v>
      </c>
      <c r="C341" s="115"/>
      <c r="D341" s="130">
        <f>(B341-B340)/100*22</f>
        <v>31939.65609999998</v>
      </c>
      <c r="E341" s="130"/>
      <c r="F341" s="130"/>
      <c r="G341" s="130"/>
      <c r="H341" s="130">
        <f>(B341-B340)/100*0.4</f>
        <v>580.7210199999996</v>
      </c>
      <c r="I341" s="130"/>
      <c r="J341" s="130"/>
      <c r="K341" s="130"/>
      <c r="L341" s="130"/>
      <c r="M341" s="130">
        <f>(B341-B340)/100*5.1</f>
        <v>7404.193004999995</v>
      </c>
      <c r="N341" s="130"/>
      <c r="O341" s="130"/>
      <c r="P341" s="114">
        <f>M341+H341+F341+D341</f>
        <v>39924.57012499997</v>
      </c>
      <c r="Q341" s="126"/>
      <c r="R341" s="130">
        <f>R340+P341</f>
        <v>371983.9796625001</v>
      </c>
      <c r="S341" s="115"/>
    </row>
    <row r="342" spans="1:19" ht="13.5" thickBot="1">
      <c r="A342" s="134" t="s">
        <v>90</v>
      </c>
      <c r="B342" s="135"/>
      <c r="C342" s="135"/>
      <c r="D342" s="135"/>
      <c r="E342" s="135"/>
      <c r="F342" s="135"/>
      <c r="G342" s="135"/>
      <c r="H342" s="135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  <c r="S342" s="136"/>
    </row>
    <row r="343" spans="1:19" ht="12.75">
      <c r="A343" s="17">
        <v>1</v>
      </c>
      <c r="B343" s="132">
        <f>K172</f>
        <v>145180.255</v>
      </c>
      <c r="C343" s="133"/>
      <c r="D343" s="132">
        <f>B343/100*22</f>
        <v>31939.656100000004</v>
      </c>
      <c r="E343" s="132"/>
      <c r="F343" s="133"/>
      <c r="G343" s="133"/>
      <c r="H343" s="132">
        <f>B343/100*0.4</f>
        <v>580.7210200000001</v>
      </c>
      <c r="I343" s="132"/>
      <c r="J343" s="132">
        <f>B343/100*2.9</f>
        <v>4210.227395</v>
      </c>
      <c r="K343" s="132"/>
      <c r="L343" s="132"/>
      <c r="M343" s="132">
        <f>B343/100*5.1</f>
        <v>7404.193005</v>
      </c>
      <c r="N343" s="132"/>
      <c r="O343" s="132"/>
      <c r="P343" s="114">
        <f aca="true" t="shared" si="144" ref="P343:P350">M343+J343+H343+D343</f>
        <v>44134.79752000001</v>
      </c>
      <c r="Q343" s="126"/>
      <c r="R343" s="132">
        <f>P343</f>
        <v>44134.79752000001</v>
      </c>
      <c r="S343" s="133"/>
    </row>
    <row r="344" spans="1:19" ht="12.75">
      <c r="A344" s="13">
        <v>2</v>
      </c>
      <c r="B344" s="130">
        <f>L172+B343</f>
        <v>290360.51</v>
      </c>
      <c r="C344" s="115"/>
      <c r="D344" s="130">
        <f aca="true" t="shared" si="145" ref="D344:D350">(B344-B343)/100*22</f>
        <v>31939.656100000004</v>
      </c>
      <c r="E344" s="130"/>
      <c r="F344" s="115"/>
      <c r="G344" s="115"/>
      <c r="H344" s="130">
        <f aca="true" t="shared" si="146" ref="H344:H350">(B344-B343)/100*0.4</f>
        <v>580.7210200000001</v>
      </c>
      <c r="I344" s="130"/>
      <c r="J344" s="130">
        <f aca="true" t="shared" si="147" ref="J344:J350">(B344-B343)/100*2.9</f>
        <v>4210.227395</v>
      </c>
      <c r="K344" s="130"/>
      <c r="L344" s="130"/>
      <c r="M344" s="130">
        <f aca="true" t="shared" si="148" ref="M344:M350">(B344-B343)/100*5.1</f>
        <v>7404.193005</v>
      </c>
      <c r="N344" s="130"/>
      <c r="O344" s="130"/>
      <c r="P344" s="114">
        <f t="shared" si="144"/>
        <v>44134.79752000001</v>
      </c>
      <c r="Q344" s="126"/>
      <c r="R344" s="130">
        <f aca="true" t="shared" si="149" ref="R344:R350">R343+P344</f>
        <v>88269.59504000001</v>
      </c>
      <c r="S344" s="115"/>
    </row>
    <row r="345" spans="1:19" ht="12.75">
      <c r="A345" s="13">
        <v>3</v>
      </c>
      <c r="B345" s="130">
        <f>M172+B344</f>
        <v>413886.7515</v>
      </c>
      <c r="C345" s="115"/>
      <c r="D345" s="130">
        <f t="shared" si="145"/>
        <v>27175.77313</v>
      </c>
      <c r="E345" s="130"/>
      <c r="F345" s="115"/>
      <c r="G345" s="115"/>
      <c r="H345" s="130">
        <f t="shared" si="146"/>
        <v>494.1049660000001</v>
      </c>
      <c r="I345" s="130"/>
      <c r="J345" s="130">
        <f t="shared" si="147"/>
        <v>3582.2610035000002</v>
      </c>
      <c r="K345" s="130"/>
      <c r="L345" s="130"/>
      <c r="M345" s="130">
        <f t="shared" si="148"/>
        <v>6299.8383165000005</v>
      </c>
      <c r="N345" s="130"/>
      <c r="O345" s="130"/>
      <c r="P345" s="114">
        <f t="shared" si="144"/>
        <v>37551.977416</v>
      </c>
      <c r="Q345" s="126"/>
      <c r="R345" s="130">
        <f t="shared" si="149"/>
        <v>125821.57245600002</v>
      </c>
      <c r="S345" s="115"/>
    </row>
    <row r="346" spans="1:19" ht="12.75">
      <c r="A346" s="13">
        <v>4</v>
      </c>
      <c r="B346" s="130">
        <f>N172+B345</f>
        <v>537412.993</v>
      </c>
      <c r="C346" s="115"/>
      <c r="D346" s="130">
        <f t="shared" si="145"/>
        <v>27175.77313</v>
      </c>
      <c r="E346" s="130"/>
      <c r="F346" s="115"/>
      <c r="G346" s="115"/>
      <c r="H346" s="130">
        <f t="shared" si="146"/>
        <v>494.1049660000001</v>
      </c>
      <c r="I346" s="130"/>
      <c r="J346" s="130">
        <f t="shared" si="147"/>
        <v>3582.2610035000002</v>
      </c>
      <c r="K346" s="130"/>
      <c r="L346" s="130"/>
      <c r="M346" s="130">
        <f t="shared" si="148"/>
        <v>6299.8383165000005</v>
      </c>
      <c r="N346" s="130"/>
      <c r="O346" s="130"/>
      <c r="P346" s="114">
        <f t="shared" si="144"/>
        <v>37551.977416</v>
      </c>
      <c r="Q346" s="126"/>
      <c r="R346" s="130">
        <f t="shared" si="149"/>
        <v>163373.54987200003</v>
      </c>
      <c r="S346" s="115"/>
    </row>
    <row r="347" spans="1:19" ht="12.75">
      <c r="A347" s="13">
        <v>5</v>
      </c>
      <c r="B347" s="130">
        <f>O172+B346</f>
        <v>589790.333</v>
      </c>
      <c r="C347" s="115"/>
      <c r="D347" s="130">
        <f t="shared" si="145"/>
        <v>11523.014799999994</v>
      </c>
      <c r="E347" s="130"/>
      <c r="F347" s="115"/>
      <c r="G347" s="115"/>
      <c r="H347" s="130">
        <f t="shared" si="146"/>
        <v>209.5093599999999</v>
      </c>
      <c r="I347" s="130"/>
      <c r="J347" s="130">
        <f t="shared" si="147"/>
        <v>1518.942859999999</v>
      </c>
      <c r="K347" s="130"/>
      <c r="L347" s="130"/>
      <c r="M347" s="130">
        <f t="shared" si="148"/>
        <v>2671.2443399999984</v>
      </c>
      <c r="N347" s="130"/>
      <c r="O347" s="130"/>
      <c r="P347" s="114">
        <f t="shared" si="144"/>
        <v>15922.71135999999</v>
      </c>
      <c r="Q347" s="126"/>
      <c r="R347" s="130">
        <f t="shared" si="149"/>
        <v>179296.26123200002</v>
      </c>
      <c r="S347" s="115"/>
    </row>
    <row r="348" spans="1:19" ht="12.75">
      <c r="A348" s="13">
        <v>6</v>
      </c>
      <c r="B348" s="130">
        <f>P172+B347</f>
        <v>654541.395</v>
      </c>
      <c r="C348" s="115"/>
      <c r="D348" s="130">
        <f t="shared" si="145"/>
        <v>14245.233640000008</v>
      </c>
      <c r="E348" s="130"/>
      <c r="F348" s="130"/>
      <c r="G348" s="130"/>
      <c r="H348" s="130">
        <f t="shared" si="146"/>
        <v>259.00424800000013</v>
      </c>
      <c r="I348" s="130"/>
      <c r="J348" s="130">
        <f t="shared" si="147"/>
        <v>1877.780798000001</v>
      </c>
      <c r="K348" s="130"/>
      <c r="L348" s="130"/>
      <c r="M348" s="130">
        <f t="shared" si="148"/>
        <v>3302.3041620000017</v>
      </c>
      <c r="N348" s="130"/>
      <c r="O348" s="130"/>
      <c r="P348" s="114">
        <f t="shared" si="144"/>
        <v>19684.32284800001</v>
      </c>
      <c r="Q348" s="126"/>
      <c r="R348" s="130">
        <f t="shared" si="149"/>
        <v>198980.58408000003</v>
      </c>
      <c r="S348" s="115"/>
    </row>
    <row r="349" spans="1:19" ht="12.75">
      <c r="A349" s="13">
        <v>7</v>
      </c>
      <c r="B349" s="130">
        <f>Q172+B348</f>
        <v>716199.0265</v>
      </c>
      <c r="C349" s="115"/>
      <c r="D349" s="130">
        <f t="shared" si="145"/>
        <v>13564.678930000004</v>
      </c>
      <c r="E349" s="130"/>
      <c r="F349" s="130"/>
      <c r="G349" s="130"/>
      <c r="H349" s="130">
        <f t="shared" si="146"/>
        <v>246.63052600000006</v>
      </c>
      <c r="I349" s="130"/>
      <c r="J349" s="130">
        <f t="shared" si="147"/>
        <v>1788.0713135000003</v>
      </c>
      <c r="K349" s="130"/>
      <c r="L349" s="130"/>
      <c r="M349" s="130">
        <f t="shared" si="148"/>
        <v>3144.5392065000005</v>
      </c>
      <c r="N349" s="130"/>
      <c r="O349" s="130"/>
      <c r="P349" s="114">
        <f t="shared" si="144"/>
        <v>18743.919976000005</v>
      </c>
      <c r="Q349" s="126"/>
      <c r="R349" s="130">
        <f t="shared" si="149"/>
        <v>217724.50405600003</v>
      </c>
      <c r="S349" s="115"/>
    </row>
    <row r="350" spans="1:19" ht="13.5" thickBot="1">
      <c r="A350" s="18">
        <v>8</v>
      </c>
      <c r="B350" s="144">
        <f>R172+B349</f>
        <v>802604.1020000001</v>
      </c>
      <c r="C350" s="145"/>
      <c r="D350" s="130">
        <f t="shared" si="145"/>
        <v>19009.11661000001</v>
      </c>
      <c r="E350" s="130"/>
      <c r="F350" s="144"/>
      <c r="G350" s="144"/>
      <c r="H350" s="130">
        <f t="shared" si="146"/>
        <v>345.62030200000015</v>
      </c>
      <c r="I350" s="130"/>
      <c r="J350" s="130">
        <f t="shared" si="147"/>
        <v>2505.747189500001</v>
      </c>
      <c r="K350" s="130"/>
      <c r="L350" s="130"/>
      <c r="M350" s="130">
        <f t="shared" si="148"/>
        <v>4406.658850500002</v>
      </c>
      <c r="N350" s="130"/>
      <c r="O350" s="130"/>
      <c r="P350" s="142">
        <f t="shared" si="144"/>
        <v>26267.14295200001</v>
      </c>
      <c r="Q350" s="143"/>
      <c r="R350" s="144">
        <f t="shared" si="149"/>
        <v>243991.64700800006</v>
      </c>
      <c r="S350" s="145"/>
    </row>
    <row r="351" spans="1:19" ht="13.5" thickBot="1">
      <c r="A351" s="134" t="s">
        <v>102</v>
      </c>
      <c r="B351" s="135"/>
      <c r="C351" s="135"/>
      <c r="D351" s="135"/>
      <c r="E351" s="135"/>
      <c r="F351" s="135"/>
      <c r="G351" s="135"/>
      <c r="H351" s="135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  <c r="S351" s="136"/>
    </row>
    <row r="352" spans="1:19" ht="12.75">
      <c r="A352" s="17">
        <v>9</v>
      </c>
      <c r="B352" s="132">
        <f>G180+B350</f>
        <v>879728.886</v>
      </c>
      <c r="C352" s="133"/>
      <c r="D352" s="132">
        <f>(B352-B350)/100*22</f>
        <v>16967.452479999996</v>
      </c>
      <c r="E352" s="132"/>
      <c r="F352" s="133"/>
      <c r="G352" s="133"/>
      <c r="H352" s="132">
        <f>(B352-B350)/100*0.4</f>
        <v>308.49913599999996</v>
      </c>
      <c r="I352" s="132"/>
      <c r="J352" s="132">
        <f>(B352-B350)/100*2.9</f>
        <v>2236.6187359999994</v>
      </c>
      <c r="K352" s="132"/>
      <c r="L352" s="132"/>
      <c r="M352" s="132">
        <f>(B352-B350)/100*5.1</f>
        <v>3933.363983999999</v>
      </c>
      <c r="N352" s="132"/>
      <c r="O352" s="132"/>
      <c r="P352" s="137">
        <f>M352+J352+H352+D352</f>
        <v>23445.934335999995</v>
      </c>
      <c r="Q352" s="138"/>
      <c r="R352" s="132">
        <f>P352+R350</f>
        <v>267437.58134400006</v>
      </c>
      <c r="S352" s="133"/>
    </row>
    <row r="353" spans="1:19" ht="12.75">
      <c r="A353" s="13">
        <v>10</v>
      </c>
      <c r="B353" s="130">
        <f>H180+B352</f>
        <v>987787.9750000001</v>
      </c>
      <c r="C353" s="115"/>
      <c r="D353" s="130">
        <f>(B353-B352)/100*22</f>
        <v>23772.99958000001</v>
      </c>
      <c r="E353" s="130"/>
      <c r="F353" s="130"/>
      <c r="G353" s="130"/>
      <c r="H353" s="130">
        <f>(B353-B352)/100*0.4</f>
        <v>432.23635600000017</v>
      </c>
      <c r="I353" s="130"/>
      <c r="J353" s="132">
        <f>(912000-B352)/100*2.9</f>
        <v>935.8623059999983</v>
      </c>
      <c r="K353" s="132"/>
      <c r="L353" s="132"/>
      <c r="M353" s="130">
        <f>(B353-B352)/100*5.1</f>
        <v>5511.013539000001</v>
      </c>
      <c r="N353" s="130"/>
      <c r="O353" s="130"/>
      <c r="P353" s="114">
        <f>M353+J353+H353+D353</f>
        <v>30652.11178100001</v>
      </c>
      <c r="Q353" s="126"/>
      <c r="R353" s="130">
        <f>R352+P353</f>
        <v>298089.69312500005</v>
      </c>
      <c r="S353" s="115"/>
    </row>
    <row r="354" spans="1:19" ht="12.75">
      <c r="A354" s="13">
        <v>11</v>
      </c>
      <c r="B354" s="130">
        <f>I180+B353</f>
        <v>1111314.2165</v>
      </c>
      <c r="C354" s="115"/>
      <c r="D354" s="130">
        <f>(B354-B353)/100*22</f>
        <v>27175.77313</v>
      </c>
      <c r="E354" s="130"/>
      <c r="F354" s="130"/>
      <c r="G354" s="130"/>
      <c r="H354" s="130">
        <f>(B354-B353)/100*0.4</f>
        <v>494.1049660000001</v>
      </c>
      <c r="I354" s="130"/>
      <c r="J354" s="130"/>
      <c r="K354" s="130"/>
      <c r="L354" s="130"/>
      <c r="M354" s="130">
        <f>(B354-B353)/100*5.1</f>
        <v>6299.8383165000005</v>
      </c>
      <c r="N354" s="130"/>
      <c r="O354" s="130"/>
      <c r="P354" s="114">
        <f>M354+H354+D354</f>
        <v>33969.7164125</v>
      </c>
      <c r="Q354" s="126"/>
      <c r="R354" s="130">
        <f>R353+P354</f>
        <v>332059.40953750006</v>
      </c>
      <c r="S354" s="115"/>
    </row>
    <row r="355" spans="1:19" ht="13.5" thickBot="1">
      <c r="A355" s="13">
        <v>12</v>
      </c>
      <c r="B355" s="130">
        <f>J180+B354</f>
        <v>1256494.4715</v>
      </c>
      <c r="C355" s="115"/>
      <c r="D355" s="130">
        <f>(B355-B354)/100*22</f>
        <v>31939.65609999998</v>
      </c>
      <c r="E355" s="130"/>
      <c r="F355" s="130"/>
      <c r="G355" s="130"/>
      <c r="H355" s="130">
        <f>(B355-B354)/100*0.4</f>
        <v>580.7210199999996</v>
      </c>
      <c r="I355" s="130"/>
      <c r="J355" s="130"/>
      <c r="K355" s="130"/>
      <c r="L355" s="130"/>
      <c r="M355" s="130">
        <f>(B355-B354)/100*5.1</f>
        <v>7404.193004999995</v>
      </c>
      <c r="N355" s="130"/>
      <c r="O355" s="130"/>
      <c r="P355" s="114">
        <f>M355+H355+F355+D355</f>
        <v>39924.57012499997</v>
      </c>
      <c r="Q355" s="126"/>
      <c r="R355" s="130">
        <f>R354+P355</f>
        <v>371983.97966250003</v>
      </c>
      <c r="S355" s="115"/>
    </row>
    <row r="356" spans="1:19" ht="13.5" thickBot="1">
      <c r="A356" s="134" t="s">
        <v>90</v>
      </c>
      <c r="B356" s="135"/>
      <c r="C356" s="135"/>
      <c r="D356" s="135"/>
      <c r="E356" s="135"/>
      <c r="F356" s="135"/>
      <c r="G356" s="135"/>
      <c r="H356" s="135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  <c r="S356" s="136"/>
    </row>
    <row r="357" spans="1:19" ht="12.75">
      <c r="A357" s="17">
        <v>1</v>
      </c>
      <c r="B357" s="132">
        <f>K180</f>
        <v>145180.255</v>
      </c>
      <c r="C357" s="133"/>
      <c r="D357" s="132">
        <f>B357/100*22</f>
        <v>31939.656100000004</v>
      </c>
      <c r="E357" s="132"/>
      <c r="F357" s="133"/>
      <c r="G357" s="133"/>
      <c r="H357" s="132">
        <f>B357/100*0.4</f>
        <v>580.7210200000001</v>
      </c>
      <c r="I357" s="132"/>
      <c r="J357" s="132">
        <f>B357/100*2.9</f>
        <v>4210.227395</v>
      </c>
      <c r="K357" s="132"/>
      <c r="L357" s="132"/>
      <c r="M357" s="132">
        <f>B357/100*5.1</f>
        <v>7404.193005</v>
      </c>
      <c r="N357" s="132"/>
      <c r="O357" s="132"/>
      <c r="P357" s="114">
        <f aca="true" t="shared" si="150" ref="P357:P364">M357+J357+H357+D357</f>
        <v>44134.79752000001</v>
      </c>
      <c r="Q357" s="126"/>
      <c r="R357" s="132">
        <f>P357</f>
        <v>44134.79752000001</v>
      </c>
      <c r="S357" s="133"/>
    </row>
    <row r="358" spans="1:19" ht="12.75">
      <c r="A358" s="13">
        <v>2</v>
      </c>
      <c r="B358" s="130">
        <f>L180+B357</f>
        <v>290360.51</v>
      </c>
      <c r="C358" s="115"/>
      <c r="D358" s="130">
        <f aca="true" t="shared" si="151" ref="D358:D364">(B358-B357)/100*22</f>
        <v>31939.656100000004</v>
      </c>
      <c r="E358" s="130"/>
      <c r="F358" s="115"/>
      <c r="G358" s="115"/>
      <c r="H358" s="130">
        <f aca="true" t="shared" si="152" ref="H358:H364">(B358-B357)/100*0.4</f>
        <v>580.7210200000001</v>
      </c>
      <c r="I358" s="130"/>
      <c r="J358" s="130">
        <f aca="true" t="shared" si="153" ref="J358:J364">(B358-B357)/100*2.9</f>
        <v>4210.227395</v>
      </c>
      <c r="K358" s="130"/>
      <c r="L358" s="130"/>
      <c r="M358" s="130">
        <f aca="true" t="shared" si="154" ref="M358:M364">(B358-B357)/100*5.1</f>
        <v>7404.193005</v>
      </c>
      <c r="N358" s="130"/>
      <c r="O358" s="130"/>
      <c r="P358" s="114">
        <f t="shared" si="150"/>
        <v>44134.79752000001</v>
      </c>
      <c r="Q358" s="126"/>
      <c r="R358" s="130">
        <f aca="true" t="shared" si="155" ref="R358:R364">R357+P358</f>
        <v>88269.59504000001</v>
      </c>
      <c r="S358" s="115"/>
    </row>
    <row r="359" spans="1:19" ht="12.75">
      <c r="A359" s="13">
        <v>3</v>
      </c>
      <c r="B359" s="130">
        <f>M180+B358</f>
        <v>413886.7515</v>
      </c>
      <c r="C359" s="115"/>
      <c r="D359" s="130">
        <f t="shared" si="151"/>
        <v>27175.77313</v>
      </c>
      <c r="E359" s="130"/>
      <c r="F359" s="115"/>
      <c r="G359" s="115"/>
      <c r="H359" s="130">
        <f t="shared" si="152"/>
        <v>494.1049660000001</v>
      </c>
      <c r="I359" s="130"/>
      <c r="J359" s="130">
        <f t="shared" si="153"/>
        <v>3582.2610035000002</v>
      </c>
      <c r="K359" s="130"/>
      <c r="L359" s="130"/>
      <c r="M359" s="130">
        <f t="shared" si="154"/>
        <v>6299.8383165000005</v>
      </c>
      <c r="N359" s="130"/>
      <c r="O359" s="130"/>
      <c r="P359" s="114">
        <f t="shared" si="150"/>
        <v>37551.977416</v>
      </c>
      <c r="Q359" s="126"/>
      <c r="R359" s="130">
        <f t="shared" si="155"/>
        <v>125821.57245600002</v>
      </c>
      <c r="S359" s="115"/>
    </row>
    <row r="360" spans="1:19" ht="12.75">
      <c r="A360" s="13">
        <v>4</v>
      </c>
      <c r="B360" s="130">
        <f>N180+B359</f>
        <v>537412.993</v>
      </c>
      <c r="C360" s="115"/>
      <c r="D360" s="130">
        <f t="shared" si="151"/>
        <v>27175.77313</v>
      </c>
      <c r="E360" s="130"/>
      <c r="F360" s="115"/>
      <c r="G360" s="115"/>
      <c r="H360" s="130">
        <f t="shared" si="152"/>
        <v>494.1049660000001</v>
      </c>
      <c r="I360" s="130"/>
      <c r="J360" s="130">
        <f t="shared" si="153"/>
        <v>3582.2610035000002</v>
      </c>
      <c r="K360" s="130"/>
      <c r="L360" s="130"/>
      <c r="M360" s="130">
        <f t="shared" si="154"/>
        <v>6299.8383165000005</v>
      </c>
      <c r="N360" s="130"/>
      <c r="O360" s="130"/>
      <c r="P360" s="114">
        <f t="shared" si="150"/>
        <v>37551.977416</v>
      </c>
      <c r="Q360" s="126"/>
      <c r="R360" s="130">
        <f t="shared" si="155"/>
        <v>163373.54987200003</v>
      </c>
      <c r="S360" s="115"/>
    </row>
    <row r="361" spans="1:19" ht="12.75">
      <c r="A361" s="13">
        <v>5</v>
      </c>
      <c r="B361" s="130">
        <f>O180+B360</f>
        <v>589790.333</v>
      </c>
      <c r="C361" s="115"/>
      <c r="D361" s="130">
        <f t="shared" si="151"/>
        <v>11523.014799999994</v>
      </c>
      <c r="E361" s="130"/>
      <c r="F361" s="115"/>
      <c r="G361" s="115"/>
      <c r="H361" s="130">
        <f t="shared" si="152"/>
        <v>209.5093599999999</v>
      </c>
      <c r="I361" s="130"/>
      <c r="J361" s="130">
        <f t="shared" si="153"/>
        <v>1518.942859999999</v>
      </c>
      <c r="K361" s="130"/>
      <c r="L361" s="130"/>
      <c r="M361" s="130">
        <f t="shared" si="154"/>
        <v>2671.2443399999984</v>
      </c>
      <c r="N361" s="130"/>
      <c r="O361" s="130"/>
      <c r="P361" s="114">
        <f t="shared" si="150"/>
        <v>15922.71135999999</v>
      </c>
      <c r="Q361" s="126"/>
      <c r="R361" s="130">
        <f t="shared" si="155"/>
        <v>179296.26123200002</v>
      </c>
      <c r="S361" s="115"/>
    </row>
    <row r="362" spans="1:19" ht="12.75">
      <c r="A362" s="13">
        <v>6</v>
      </c>
      <c r="B362" s="130">
        <f>P180+B361</f>
        <v>654541.395</v>
      </c>
      <c r="C362" s="115"/>
      <c r="D362" s="130">
        <f t="shared" si="151"/>
        <v>14245.233640000008</v>
      </c>
      <c r="E362" s="130"/>
      <c r="F362" s="130"/>
      <c r="G362" s="130"/>
      <c r="H362" s="130">
        <f t="shared" si="152"/>
        <v>259.00424800000013</v>
      </c>
      <c r="I362" s="130"/>
      <c r="J362" s="130">
        <f t="shared" si="153"/>
        <v>1877.780798000001</v>
      </c>
      <c r="K362" s="130"/>
      <c r="L362" s="130"/>
      <c r="M362" s="130">
        <f t="shared" si="154"/>
        <v>3302.3041620000017</v>
      </c>
      <c r="N362" s="130"/>
      <c r="O362" s="130"/>
      <c r="P362" s="114">
        <f t="shared" si="150"/>
        <v>19684.32284800001</v>
      </c>
      <c r="Q362" s="126"/>
      <c r="R362" s="130">
        <f t="shared" si="155"/>
        <v>198980.58408000003</v>
      </c>
      <c r="S362" s="115"/>
    </row>
    <row r="363" spans="1:19" ht="12.75">
      <c r="A363" s="13">
        <v>7</v>
      </c>
      <c r="B363" s="130">
        <f>Q180+B362</f>
        <v>719292.457</v>
      </c>
      <c r="C363" s="115"/>
      <c r="D363" s="130">
        <f t="shared" si="151"/>
        <v>14245.233640000008</v>
      </c>
      <c r="E363" s="130"/>
      <c r="F363" s="130"/>
      <c r="G363" s="130"/>
      <c r="H363" s="130">
        <f t="shared" si="152"/>
        <v>259.00424800000013</v>
      </c>
      <c r="I363" s="130"/>
      <c r="J363" s="130">
        <f t="shared" si="153"/>
        <v>1877.780798000001</v>
      </c>
      <c r="K363" s="130"/>
      <c r="L363" s="130"/>
      <c r="M363" s="130">
        <f t="shared" si="154"/>
        <v>3302.3041620000017</v>
      </c>
      <c r="N363" s="130"/>
      <c r="O363" s="130"/>
      <c r="P363" s="114">
        <f t="shared" si="150"/>
        <v>19684.32284800001</v>
      </c>
      <c r="Q363" s="126"/>
      <c r="R363" s="130">
        <f t="shared" si="155"/>
        <v>218664.90692800004</v>
      </c>
      <c r="S363" s="115"/>
    </row>
    <row r="364" spans="1:19" ht="13.5" thickBot="1">
      <c r="A364" s="18">
        <v>8</v>
      </c>
      <c r="B364" s="144">
        <f>R180+B363</f>
        <v>802604.1020000001</v>
      </c>
      <c r="C364" s="145"/>
      <c r="D364" s="130">
        <f t="shared" si="151"/>
        <v>18328.561900000004</v>
      </c>
      <c r="E364" s="130"/>
      <c r="F364" s="144"/>
      <c r="G364" s="144"/>
      <c r="H364" s="130">
        <f t="shared" si="152"/>
        <v>333.2465800000001</v>
      </c>
      <c r="I364" s="130"/>
      <c r="J364" s="130">
        <f t="shared" si="153"/>
        <v>2416.0377050000006</v>
      </c>
      <c r="K364" s="130"/>
      <c r="L364" s="130"/>
      <c r="M364" s="130">
        <f t="shared" si="154"/>
        <v>4248.893895000001</v>
      </c>
      <c r="N364" s="130"/>
      <c r="O364" s="130"/>
      <c r="P364" s="142">
        <f t="shared" si="150"/>
        <v>25326.740080000007</v>
      </c>
      <c r="Q364" s="143"/>
      <c r="R364" s="144">
        <f t="shared" si="155"/>
        <v>243991.64700800006</v>
      </c>
      <c r="S364" s="145"/>
    </row>
    <row r="365" spans="1:19" ht="13.5" thickBot="1">
      <c r="A365" s="134" t="s">
        <v>103</v>
      </c>
      <c r="B365" s="135"/>
      <c r="C365" s="135"/>
      <c r="D365" s="135"/>
      <c r="E365" s="135"/>
      <c r="F365" s="135"/>
      <c r="G365" s="135"/>
      <c r="H365" s="135"/>
      <c r="I365" s="135"/>
      <c r="J365" s="135"/>
      <c r="K365" s="135"/>
      <c r="L365" s="135"/>
      <c r="M365" s="135"/>
      <c r="N365" s="135"/>
      <c r="O365" s="135"/>
      <c r="P365" s="135"/>
      <c r="Q365" s="135"/>
      <c r="R365" s="135"/>
      <c r="S365" s="136"/>
    </row>
    <row r="366" spans="1:19" ht="12.75">
      <c r="A366" s="17">
        <v>9</v>
      </c>
      <c r="B366" s="132">
        <f>G188+B364</f>
        <v>879728.886</v>
      </c>
      <c r="C366" s="133"/>
      <c r="D366" s="132">
        <f>(B366-B364)/100*22</f>
        <v>16967.452479999996</v>
      </c>
      <c r="E366" s="132"/>
      <c r="F366" s="133"/>
      <c r="G366" s="133"/>
      <c r="H366" s="132">
        <f>(B366-B364)/100*0.4</f>
        <v>308.49913599999996</v>
      </c>
      <c r="I366" s="132"/>
      <c r="J366" s="132">
        <f>(B366-B364)/100*2.9</f>
        <v>2236.6187359999994</v>
      </c>
      <c r="K366" s="132"/>
      <c r="L366" s="132"/>
      <c r="M366" s="132">
        <f>(B366-B364)/100*5.1</f>
        <v>3933.363983999999</v>
      </c>
      <c r="N366" s="132"/>
      <c r="O366" s="132"/>
      <c r="P366" s="137">
        <f>M366+J366+H366+D366</f>
        <v>23445.934335999995</v>
      </c>
      <c r="Q366" s="138"/>
      <c r="R366" s="132">
        <f>P366+R364</f>
        <v>267437.58134400006</v>
      </c>
      <c r="S366" s="133"/>
    </row>
    <row r="367" spans="1:19" ht="12.75">
      <c r="A367" s="13">
        <v>10</v>
      </c>
      <c r="B367" s="130">
        <f>H188+B366</f>
        <v>987787.9750000001</v>
      </c>
      <c r="C367" s="115"/>
      <c r="D367" s="130">
        <f>(B367-B366)/100*22</f>
        <v>23772.99958000001</v>
      </c>
      <c r="E367" s="130"/>
      <c r="F367" s="130"/>
      <c r="G367" s="130"/>
      <c r="H367" s="130">
        <f>(B367-B366)/100*0.4</f>
        <v>432.23635600000017</v>
      </c>
      <c r="I367" s="130"/>
      <c r="J367" s="132">
        <f>(912000-B366)/100*2.9</f>
        <v>935.8623059999983</v>
      </c>
      <c r="K367" s="132"/>
      <c r="L367" s="132"/>
      <c r="M367" s="130">
        <f>(B367-B366)/100*5.1</f>
        <v>5511.013539000001</v>
      </c>
      <c r="N367" s="130"/>
      <c r="O367" s="130"/>
      <c r="P367" s="114">
        <f>M367+J367+H367+D367</f>
        <v>30652.11178100001</v>
      </c>
      <c r="Q367" s="126"/>
      <c r="R367" s="130">
        <f>R366+P367</f>
        <v>298089.69312500005</v>
      </c>
      <c r="S367" s="115"/>
    </row>
    <row r="368" spans="1:19" ht="12.75">
      <c r="A368" s="13">
        <v>11</v>
      </c>
      <c r="B368" s="130">
        <f>I188+B367</f>
        <v>1114407.647</v>
      </c>
      <c r="C368" s="115"/>
      <c r="D368" s="130">
        <f>(B368-B367)/100*22</f>
        <v>27856.32784</v>
      </c>
      <c r="E368" s="130"/>
      <c r="F368" s="130"/>
      <c r="G368" s="130"/>
      <c r="H368" s="130">
        <f>(B368-B367)/100*0.4</f>
        <v>506.4786880000001</v>
      </c>
      <c r="I368" s="130"/>
      <c r="J368" s="130"/>
      <c r="K368" s="130"/>
      <c r="L368" s="130"/>
      <c r="M368" s="130">
        <f>(B368-B367)/100*5.1</f>
        <v>6457.603272</v>
      </c>
      <c r="N368" s="130"/>
      <c r="O368" s="130"/>
      <c r="P368" s="114">
        <f>M368+H368+D368</f>
        <v>34820.4098</v>
      </c>
      <c r="Q368" s="126"/>
      <c r="R368" s="130">
        <f>R367+P368</f>
        <v>332910.1029250001</v>
      </c>
      <c r="S368" s="115"/>
    </row>
    <row r="369" spans="1:19" ht="13.5" thickBot="1">
      <c r="A369" s="13">
        <v>12</v>
      </c>
      <c r="B369" s="130">
        <f>J188+B368</f>
        <v>1259587.9020000002</v>
      </c>
      <c r="C369" s="115"/>
      <c r="D369" s="130">
        <f>(B369-B368)/100*22</f>
        <v>31939.65610000003</v>
      </c>
      <c r="E369" s="130"/>
      <c r="F369" s="130"/>
      <c r="G369" s="130"/>
      <c r="H369" s="130">
        <f>(B369-B368)/100*0.4</f>
        <v>580.7210200000005</v>
      </c>
      <c r="I369" s="130"/>
      <c r="J369" s="130"/>
      <c r="K369" s="130"/>
      <c r="L369" s="130"/>
      <c r="M369" s="130">
        <f>(B369-B368)/100*5.1</f>
        <v>7404.1930050000055</v>
      </c>
      <c r="N369" s="130"/>
      <c r="O369" s="130"/>
      <c r="P369" s="114">
        <f>M369+H369+F369+D369</f>
        <v>39924.570125000035</v>
      </c>
      <c r="Q369" s="126"/>
      <c r="R369" s="130">
        <f>R368+P369</f>
        <v>372834.6730500001</v>
      </c>
      <c r="S369" s="115"/>
    </row>
    <row r="370" spans="1:19" ht="13.5" thickBot="1">
      <c r="A370" s="134" t="s">
        <v>90</v>
      </c>
      <c r="B370" s="135"/>
      <c r="C370" s="135"/>
      <c r="D370" s="135"/>
      <c r="E370" s="135"/>
      <c r="F370" s="135"/>
      <c r="G370" s="135"/>
      <c r="H370" s="135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  <c r="S370" s="136"/>
    </row>
    <row r="371" spans="1:19" ht="12.75">
      <c r="A371" s="17">
        <v>1</v>
      </c>
      <c r="B371" s="132">
        <f>K188</f>
        <v>145180.255</v>
      </c>
      <c r="C371" s="133"/>
      <c r="D371" s="132">
        <f>B371/100*22</f>
        <v>31939.656100000004</v>
      </c>
      <c r="E371" s="132"/>
      <c r="F371" s="133"/>
      <c r="G371" s="133"/>
      <c r="H371" s="132">
        <f>B371/100*0.4</f>
        <v>580.7210200000001</v>
      </c>
      <c r="I371" s="132"/>
      <c r="J371" s="132">
        <f>B371/100*2.9</f>
        <v>4210.227395</v>
      </c>
      <c r="K371" s="132"/>
      <c r="L371" s="132"/>
      <c r="M371" s="132">
        <f>B371/100*5.1</f>
        <v>7404.193005</v>
      </c>
      <c r="N371" s="132"/>
      <c r="O371" s="132"/>
      <c r="P371" s="114">
        <f aca="true" t="shared" si="156" ref="P371:P378">M371+J371+H371+D371</f>
        <v>44134.79752000001</v>
      </c>
      <c r="Q371" s="126"/>
      <c r="R371" s="132">
        <f>P371</f>
        <v>44134.79752000001</v>
      </c>
      <c r="S371" s="133"/>
    </row>
    <row r="372" spans="1:19" ht="12.75">
      <c r="A372" s="13">
        <v>2</v>
      </c>
      <c r="B372" s="130">
        <f>L188+B371</f>
        <v>290360.51</v>
      </c>
      <c r="C372" s="115"/>
      <c r="D372" s="130">
        <f aca="true" t="shared" si="157" ref="D372:D378">(B372-B371)/100*22</f>
        <v>31939.656100000004</v>
      </c>
      <c r="E372" s="130"/>
      <c r="F372" s="115"/>
      <c r="G372" s="115"/>
      <c r="H372" s="130">
        <f aca="true" t="shared" si="158" ref="H372:H378">(B372-B371)/100*0.4</f>
        <v>580.7210200000001</v>
      </c>
      <c r="I372" s="130"/>
      <c r="J372" s="130">
        <f aca="true" t="shared" si="159" ref="J372:J378">(B372-B371)/100*2.9</f>
        <v>4210.227395</v>
      </c>
      <c r="K372" s="130"/>
      <c r="L372" s="130"/>
      <c r="M372" s="130">
        <f aca="true" t="shared" si="160" ref="M372:M378">(B372-B371)/100*5.1</f>
        <v>7404.193005</v>
      </c>
      <c r="N372" s="130"/>
      <c r="O372" s="130"/>
      <c r="P372" s="114">
        <f t="shared" si="156"/>
        <v>44134.79752000001</v>
      </c>
      <c r="Q372" s="126"/>
      <c r="R372" s="130">
        <f aca="true" t="shared" si="161" ref="R372:R378">R371+P372</f>
        <v>88269.59504000001</v>
      </c>
      <c r="S372" s="115"/>
    </row>
    <row r="373" spans="1:19" ht="12.75">
      <c r="A373" s="13">
        <v>3</v>
      </c>
      <c r="B373" s="130">
        <f>M188+B372</f>
        <v>410793.321</v>
      </c>
      <c r="C373" s="115"/>
      <c r="D373" s="130">
        <f t="shared" si="157"/>
        <v>26495.218419999997</v>
      </c>
      <c r="E373" s="130"/>
      <c r="F373" s="115"/>
      <c r="G373" s="115"/>
      <c r="H373" s="130">
        <f t="shared" si="158"/>
        <v>481.731244</v>
      </c>
      <c r="I373" s="130"/>
      <c r="J373" s="130">
        <f t="shared" si="159"/>
        <v>3492.5515189999996</v>
      </c>
      <c r="K373" s="130"/>
      <c r="L373" s="130"/>
      <c r="M373" s="130">
        <f t="shared" si="160"/>
        <v>6142.073360999999</v>
      </c>
      <c r="N373" s="130"/>
      <c r="O373" s="130"/>
      <c r="P373" s="114">
        <f t="shared" si="156"/>
        <v>36611.574543999996</v>
      </c>
      <c r="Q373" s="126"/>
      <c r="R373" s="130">
        <f t="shared" si="161"/>
        <v>124881.16958400002</v>
      </c>
      <c r="S373" s="115"/>
    </row>
    <row r="374" spans="1:19" ht="12.75">
      <c r="A374" s="13">
        <v>4</v>
      </c>
      <c r="B374" s="130">
        <f>N188+B373</f>
        <v>534319.5625</v>
      </c>
      <c r="C374" s="115"/>
      <c r="D374" s="130">
        <f t="shared" si="157"/>
        <v>27175.77313</v>
      </c>
      <c r="E374" s="130"/>
      <c r="F374" s="115"/>
      <c r="G374" s="115"/>
      <c r="H374" s="130">
        <f t="shared" si="158"/>
        <v>494.1049660000001</v>
      </c>
      <c r="I374" s="130"/>
      <c r="J374" s="130">
        <f t="shared" si="159"/>
        <v>3582.2610035000002</v>
      </c>
      <c r="K374" s="130"/>
      <c r="L374" s="130"/>
      <c r="M374" s="130">
        <f t="shared" si="160"/>
        <v>6299.8383165000005</v>
      </c>
      <c r="N374" s="130"/>
      <c r="O374" s="130"/>
      <c r="P374" s="114">
        <f t="shared" si="156"/>
        <v>37551.977416</v>
      </c>
      <c r="Q374" s="126"/>
      <c r="R374" s="130">
        <f t="shared" si="161"/>
        <v>162433.14700000003</v>
      </c>
      <c r="S374" s="115"/>
    </row>
    <row r="375" spans="1:19" ht="12.75">
      <c r="A375" s="13">
        <v>5</v>
      </c>
      <c r="B375" s="130">
        <f>O188+B374</f>
        <v>586696.9025</v>
      </c>
      <c r="C375" s="115"/>
      <c r="D375" s="130">
        <f t="shared" si="157"/>
        <v>11523.014799999994</v>
      </c>
      <c r="E375" s="130"/>
      <c r="F375" s="115"/>
      <c r="G375" s="115"/>
      <c r="H375" s="130">
        <f t="shared" si="158"/>
        <v>209.5093599999999</v>
      </c>
      <c r="I375" s="130"/>
      <c r="J375" s="130">
        <f t="shared" si="159"/>
        <v>1518.942859999999</v>
      </c>
      <c r="K375" s="130"/>
      <c r="L375" s="130"/>
      <c r="M375" s="130">
        <f t="shared" si="160"/>
        <v>2671.2443399999984</v>
      </c>
      <c r="N375" s="130"/>
      <c r="O375" s="130"/>
      <c r="P375" s="114">
        <f t="shared" si="156"/>
        <v>15922.71135999999</v>
      </c>
      <c r="Q375" s="126"/>
      <c r="R375" s="130">
        <f t="shared" si="161"/>
        <v>178355.85836</v>
      </c>
      <c r="S375" s="115"/>
    </row>
    <row r="376" spans="1:19" ht="12.75">
      <c r="A376" s="13">
        <v>6</v>
      </c>
      <c r="B376" s="130">
        <f>P188+B375</f>
        <v>651447.9645</v>
      </c>
      <c r="C376" s="115"/>
      <c r="D376" s="130">
        <f t="shared" si="157"/>
        <v>14245.233640000008</v>
      </c>
      <c r="E376" s="130"/>
      <c r="F376" s="130"/>
      <c r="G376" s="130"/>
      <c r="H376" s="130">
        <f t="shared" si="158"/>
        <v>259.00424800000013</v>
      </c>
      <c r="I376" s="130"/>
      <c r="J376" s="130">
        <f t="shared" si="159"/>
        <v>1877.780798000001</v>
      </c>
      <c r="K376" s="130"/>
      <c r="L376" s="130"/>
      <c r="M376" s="130">
        <f t="shared" si="160"/>
        <v>3302.3041620000017</v>
      </c>
      <c r="N376" s="130"/>
      <c r="O376" s="130"/>
      <c r="P376" s="114">
        <f t="shared" si="156"/>
        <v>19684.32284800001</v>
      </c>
      <c r="Q376" s="126"/>
      <c r="R376" s="130">
        <f t="shared" si="161"/>
        <v>198040.18120800002</v>
      </c>
      <c r="S376" s="115"/>
    </row>
    <row r="377" spans="1:19" ht="12.75">
      <c r="A377" s="13">
        <v>7</v>
      </c>
      <c r="B377" s="130">
        <f>Q188+B376</f>
        <v>716199.0265</v>
      </c>
      <c r="C377" s="115"/>
      <c r="D377" s="130">
        <f t="shared" si="157"/>
        <v>14245.233640000008</v>
      </c>
      <c r="E377" s="130"/>
      <c r="F377" s="130"/>
      <c r="G377" s="130"/>
      <c r="H377" s="130">
        <f t="shared" si="158"/>
        <v>259.00424800000013</v>
      </c>
      <c r="I377" s="130"/>
      <c r="J377" s="130">
        <f t="shared" si="159"/>
        <v>1877.780798000001</v>
      </c>
      <c r="K377" s="130"/>
      <c r="L377" s="130"/>
      <c r="M377" s="130">
        <f t="shared" si="160"/>
        <v>3302.3041620000017</v>
      </c>
      <c r="N377" s="130"/>
      <c r="O377" s="130"/>
      <c r="P377" s="114">
        <f t="shared" si="156"/>
        <v>19684.32284800001</v>
      </c>
      <c r="Q377" s="126"/>
      <c r="R377" s="130">
        <f t="shared" si="161"/>
        <v>217724.50405600003</v>
      </c>
      <c r="S377" s="115"/>
    </row>
    <row r="378" spans="1:19" ht="12.75">
      <c r="A378" s="13">
        <v>8</v>
      </c>
      <c r="B378" s="130">
        <f>R188+B377</f>
        <v>799510.6715</v>
      </c>
      <c r="C378" s="115"/>
      <c r="D378" s="130">
        <f t="shared" si="157"/>
        <v>18328.561900000004</v>
      </c>
      <c r="E378" s="130"/>
      <c r="F378" s="130"/>
      <c r="G378" s="130"/>
      <c r="H378" s="130">
        <f t="shared" si="158"/>
        <v>333.2465800000001</v>
      </c>
      <c r="I378" s="130"/>
      <c r="J378" s="130">
        <f t="shared" si="159"/>
        <v>2416.0377050000006</v>
      </c>
      <c r="K378" s="130"/>
      <c r="L378" s="130"/>
      <c r="M378" s="130">
        <f t="shared" si="160"/>
        <v>4248.893895000001</v>
      </c>
      <c r="N378" s="130"/>
      <c r="O378" s="130"/>
      <c r="P378" s="114">
        <f t="shared" si="156"/>
        <v>25326.740080000007</v>
      </c>
      <c r="Q378" s="126"/>
      <c r="R378" s="130">
        <f t="shared" si="161"/>
        <v>243051.24413600005</v>
      </c>
      <c r="S378" s="115"/>
    </row>
    <row r="379" spans="1:19" ht="18.75">
      <c r="A379" s="131" t="s">
        <v>112</v>
      </c>
      <c r="B379" s="131"/>
      <c r="C379" s="131"/>
      <c r="D379" s="131"/>
      <c r="E379" s="131"/>
      <c r="F379" s="131"/>
      <c r="G379" s="131"/>
      <c r="H379" s="131"/>
      <c r="I379" s="131"/>
      <c r="J379" s="131"/>
      <c r="K379" s="131"/>
      <c r="L379" s="131"/>
      <c r="M379" s="131"/>
      <c r="N379" s="131"/>
      <c r="O379" s="131"/>
      <c r="P379" s="131"/>
      <c r="Q379" s="131"/>
      <c r="R379" s="131"/>
      <c r="S379" s="131"/>
    </row>
    <row r="380" spans="1:19" ht="12.75">
      <c r="A380" s="146" t="s">
        <v>26</v>
      </c>
      <c r="B380" s="148" t="s">
        <v>87</v>
      </c>
      <c r="C380" s="148"/>
      <c r="D380" s="150" t="s">
        <v>19</v>
      </c>
      <c r="E380" s="150"/>
      <c r="F380" s="150"/>
      <c r="G380" s="150"/>
      <c r="H380" s="126" t="s">
        <v>20</v>
      </c>
      <c r="I380" s="126"/>
      <c r="J380" s="126"/>
      <c r="K380" s="126"/>
      <c r="L380" s="126"/>
      <c r="M380" s="148" t="s">
        <v>88</v>
      </c>
      <c r="N380" s="148"/>
      <c r="O380" s="148"/>
      <c r="P380" s="148" t="s">
        <v>28</v>
      </c>
      <c r="Q380" s="148"/>
      <c r="R380" s="148" t="s">
        <v>29</v>
      </c>
      <c r="S380" s="148"/>
    </row>
    <row r="381" spans="1:19" ht="12.75">
      <c r="A381" s="146"/>
      <c r="B381" s="148"/>
      <c r="C381" s="148"/>
      <c r="D381" s="150"/>
      <c r="E381" s="150"/>
      <c r="F381" s="150"/>
      <c r="G381" s="150"/>
      <c r="H381" s="148" t="s">
        <v>89</v>
      </c>
      <c r="I381" s="148"/>
      <c r="J381" s="150" t="s">
        <v>503</v>
      </c>
      <c r="K381" s="150"/>
      <c r="L381" s="150"/>
      <c r="M381" s="148"/>
      <c r="N381" s="148"/>
      <c r="O381" s="148"/>
      <c r="P381" s="148"/>
      <c r="Q381" s="148"/>
      <c r="R381" s="148"/>
      <c r="S381" s="148"/>
    </row>
    <row r="382" spans="1:19" ht="12.75">
      <c r="A382" s="146"/>
      <c r="B382" s="148"/>
      <c r="C382" s="148"/>
      <c r="D382" s="148" t="s">
        <v>500</v>
      </c>
      <c r="E382" s="148"/>
      <c r="F382" s="148" t="s">
        <v>502</v>
      </c>
      <c r="G382" s="148"/>
      <c r="H382" s="148"/>
      <c r="I382" s="148"/>
      <c r="J382" s="150"/>
      <c r="K382" s="150"/>
      <c r="L382" s="150"/>
      <c r="M382" s="148"/>
      <c r="N382" s="148"/>
      <c r="O382" s="148"/>
      <c r="P382" s="148"/>
      <c r="Q382" s="148"/>
      <c r="R382" s="148"/>
      <c r="S382" s="148"/>
    </row>
    <row r="383" spans="1:19" ht="12.75">
      <c r="A383" s="146"/>
      <c r="B383" s="148"/>
      <c r="C383" s="148"/>
      <c r="D383" s="148"/>
      <c r="E383" s="148"/>
      <c r="F383" s="148"/>
      <c r="G383" s="148"/>
      <c r="H383" s="148"/>
      <c r="I383" s="148"/>
      <c r="J383" s="150"/>
      <c r="K383" s="150"/>
      <c r="L383" s="150"/>
      <c r="M383" s="148"/>
      <c r="N383" s="148"/>
      <c r="O383" s="148"/>
      <c r="P383" s="148"/>
      <c r="Q383" s="148"/>
      <c r="R383" s="148"/>
      <c r="S383" s="148"/>
    </row>
    <row r="384" spans="1:19" ht="13.5" thickBot="1">
      <c r="A384" s="147"/>
      <c r="B384" s="149"/>
      <c r="C384" s="149"/>
      <c r="D384" s="149"/>
      <c r="E384" s="149"/>
      <c r="F384" s="149"/>
      <c r="G384" s="149"/>
      <c r="H384" s="149"/>
      <c r="I384" s="149"/>
      <c r="J384" s="151"/>
      <c r="K384" s="151"/>
      <c r="L384" s="151"/>
      <c r="M384" s="149"/>
      <c r="N384" s="149"/>
      <c r="O384" s="149"/>
      <c r="P384" s="149"/>
      <c r="Q384" s="149"/>
      <c r="R384" s="149"/>
      <c r="S384" s="149"/>
    </row>
    <row r="385" spans="1:19" ht="13.5" thickBot="1">
      <c r="A385" s="134" t="s">
        <v>105</v>
      </c>
      <c r="B385" s="135"/>
      <c r="C385" s="135"/>
      <c r="D385" s="135"/>
      <c r="E385" s="135"/>
      <c r="F385" s="135"/>
      <c r="G385" s="135"/>
      <c r="H385" s="135"/>
      <c r="I385" s="135"/>
      <c r="J385" s="135"/>
      <c r="K385" s="135"/>
      <c r="L385" s="135"/>
      <c r="M385" s="135"/>
      <c r="N385" s="135"/>
      <c r="O385" s="135"/>
      <c r="P385" s="135"/>
      <c r="Q385" s="135"/>
      <c r="R385" s="135"/>
      <c r="S385" s="136"/>
    </row>
    <row r="386" spans="1:19" ht="12.75">
      <c r="A386" s="17">
        <v>9</v>
      </c>
      <c r="B386" s="132">
        <f>G94</f>
        <v>66817.48</v>
      </c>
      <c r="C386" s="133"/>
      <c r="D386" s="132">
        <f>B386/100*22</f>
        <v>14699.8456</v>
      </c>
      <c r="E386" s="132"/>
      <c r="F386" s="133"/>
      <c r="G386" s="133"/>
      <c r="H386" s="132">
        <f>B386/100*0.4</f>
        <v>267.26992</v>
      </c>
      <c r="I386" s="132"/>
      <c r="J386" s="132">
        <f>B386/100*2.9</f>
        <v>1937.7069199999999</v>
      </c>
      <c r="K386" s="132"/>
      <c r="L386" s="132"/>
      <c r="M386" s="132">
        <f>B386/100*5.1</f>
        <v>3407.69148</v>
      </c>
      <c r="N386" s="132"/>
      <c r="O386" s="132"/>
      <c r="P386" s="137">
        <f>M386+J386+H386+D386</f>
        <v>20312.51392</v>
      </c>
      <c r="Q386" s="138"/>
      <c r="R386" s="132">
        <f>P386</f>
        <v>20312.51392</v>
      </c>
      <c r="S386" s="133"/>
    </row>
    <row r="387" spans="1:19" ht="12.75">
      <c r="A387" s="13">
        <v>10</v>
      </c>
      <c r="B387" s="130">
        <f>H94+B386</f>
        <v>137288.59999999998</v>
      </c>
      <c r="C387" s="115"/>
      <c r="D387" s="130">
        <f>(B387-B386)/100*22</f>
        <v>15503.646399999996</v>
      </c>
      <c r="E387" s="130"/>
      <c r="F387" s="115"/>
      <c r="G387" s="115"/>
      <c r="H387" s="130">
        <f>(B387-B386)/100*0.4</f>
        <v>281.88447999999994</v>
      </c>
      <c r="I387" s="130"/>
      <c r="J387" s="130">
        <f>(B387-B386)/100*2.9</f>
        <v>2043.6624799999995</v>
      </c>
      <c r="K387" s="130"/>
      <c r="L387" s="130"/>
      <c r="M387" s="130">
        <f>(B387-B386)/100*5.1</f>
        <v>3594.027119999999</v>
      </c>
      <c r="N387" s="130"/>
      <c r="O387" s="130"/>
      <c r="P387" s="114">
        <f>M387+J387+H387+D387</f>
        <v>21423.220479999993</v>
      </c>
      <c r="Q387" s="126"/>
      <c r="R387" s="130">
        <f>R386+P387</f>
        <v>41735.734399999994</v>
      </c>
      <c r="S387" s="115"/>
    </row>
    <row r="388" spans="1:19" ht="12.75">
      <c r="A388" s="13">
        <v>11</v>
      </c>
      <c r="B388" s="130">
        <f>I94+B387</f>
        <v>215066.99999999997</v>
      </c>
      <c r="C388" s="115"/>
      <c r="D388" s="130">
        <f>(B388-B387)/100*22</f>
        <v>17111.248</v>
      </c>
      <c r="E388" s="130"/>
      <c r="F388" s="115"/>
      <c r="G388" s="115"/>
      <c r="H388" s="130">
        <f>(B388-B387)/100*0.4</f>
        <v>311.1136</v>
      </c>
      <c r="I388" s="130"/>
      <c r="J388" s="130">
        <f>(B388-B387)/100*2.9</f>
        <v>2255.5735999999997</v>
      </c>
      <c r="K388" s="130"/>
      <c r="L388" s="130"/>
      <c r="M388" s="130">
        <f>(B388-B387)/100*5.1</f>
        <v>3966.6983999999998</v>
      </c>
      <c r="N388" s="130"/>
      <c r="O388" s="130"/>
      <c r="P388" s="114">
        <f>M388+J388+H388+D388</f>
        <v>23644.633599999997</v>
      </c>
      <c r="Q388" s="126"/>
      <c r="R388" s="130">
        <f>R387+P388</f>
        <v>65380.36799999999</v>
      </c>
      <c r="S388" s="115"/>
    </row>
    <row r="389" spans="1:19" ht="13.5" thickBot="1">
      <c r="A389" s="18">
        <v>12</v>
      </c>
      <c r="B389" s="144">
        <f>J94+B388</f>
        <v>311113.6</v>
      </c>
      <c r="C389" s="145"/>
      <c r="D389" s="130">
        <f>(B389-B388)/100*22</f>
        <v>21130.252</v>
      </c>
      <c r="E389" s="130"/>
      <c r="F389" s="145"/>
      <c r="G389" s="145"/>
      <c r="H389" s="130">
        <f>(B389-B388)/100*0.4</f>
        <v>384.18640000000005</v>
      </c>
      <c r="I389" s="130"/>
      <c r="J389" s="130">
        <f>(B389-B388)/100*2.9</f>
        <v>2785.3514</v>
      </c>
      <c r="K389" s="130"/>
      <c r="L389" s="130"/>
      <c r="M389" s="130">
        <f>(B389-B388)/100*5.1</f>
        <v>4898.3766</v>
      </c>
      <c r="N389" s="130"/>
      <c r="O389" s="130"/>
      <c r="P389" s="142">
        <f>M389+J389+H389+D389</f>
        <v>29198.166400000002</v>
      </c>
      <c r="Q389" s="143"/>
      <c r="R389" s="144">
        <f>R388+P389</f>
        <v>94578.53439999999</v>
      </c>
      <c r="S389" s="145"/>
    </row>
    <row r="390" spans="1:19" ht="13.5" thickBot="1">
      <c r="A390" s="134" t="s">
        <v>90</v>
      </c>
      <c r="B390" s="135"/>
      <c r="C390" s="135"/>
      <c r="D390" s="135"/>
      <c r="E390" s="135"/>
      <c r="F390" s="135"/>
      <c r="G390" s="135"/>
      <c r="H390" s="135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  <c r="S390" s="136"/>
    </row>
    <row r="391" spans="1:19" ht="12.75">
      <c r="A391" s="17">
        <v>1</v>
      </c>
      <c r="B391" s="132">
        <f>K94</f>
        <v>114314.79999999999</v>
      </c>
      <c r="C391" s="133"/>
      <c r="D391" s="132">
        <f>B391/100*22</f>
        <v>25149.255999999998</v>
      </c>
      <c r="E391" s="132"/>
      <c r="F391" s="133"/>
      <c r="G391" s="133"/>
      <c r="H391" s="132">
        <f>B391/100*0.4</f>
        <v>457.25919999999996</v>
      </c>
      <c r="I391" s="132"/>
      <c r="J391" s="132">
        <f>B391/100*2.9</f>
        <v>3315.1292</v>
      </c>
      <c r="K391" s="132"/>
      <c r="L391" s="132"/>
      <c r="M391" s="132">
        <f>B391/100*5.1</f>
        <v>5830.054799999999</v>
      </c>
      <c r="N391" s="132"/>
      <c r="O391" s="132"/>
      <c r="P391" s="137">
        <f aca="true" t="shared" si="162" ref="P391:P398">M391+J391+H391+D391</f>
        <v>34751.699199999995</v>
      </c>
      <c r="Q391" s="138"/>
      <c r="R391" s="132">
        <f>P391</f>
        <v>34751.699199999995</v>
      </c>
      <c r="S391" s="133"/>
    </row>
    <row r="392" spans="1:19" ht="12.75">
      <c r="A392" s="13">
        <v>2</v>
      </c>
      <c r="B392" s="130">
        <f>L94+B391</f>
        <v>206707.75999999998</v>
      </c>
      <c r="C392" s="115"/>
      <c r="D392" s="130">
        <f aca="true" t="shared" si="163" ref="D392:D398">(B392-B391)/100*22</f>
        <v>20326.4512</v>
      </c>
      <c r="E392" s="130"/>
      <c r="F392" s="115"/>
      <c r="G392" s="115"/>
      <c r="H392" s="130">
        <f aca="true" t="shared" si="164" ref="H392:H398">(B392-B391)/100*0.4</f>
        <v>369.57184</v>
      </c>
      <c r="I392" s="130"/>
      <c r="J392" s="130">
        <f aca="true" t="shared" si="165" ref="J392:J398">(B392-B391)/100*2.9</f>
        <v>2679.3958399999997</v>
      </c>
      <c r="K392" s="130"/>
      <c r="L392" s="130"/>
      <c r="M392" s="130">
        <f aca="true" t="shared" si="166" ref="M392:M398">(B392-B391)/100*5.1</f>
        <v>4712.040959999999</v>
      </c>
      <c r="N392" s="130"/>
      <c r="O392" s="130"/>
      <c r="P392" s="114">
        <f t="shared" si="162"/>
        <v>28087.45984</v>
      </c>
      <c r="Q392" s="126"/>
      <c r="R392" s="130">
        <f aca="true" t="shared" si="167" ref="R392:R398">R391+P392</f>
        <v>62839.15904</v>
      </c>
      <c r="S392" s="115"/>
    </row>
    <row r="393" spans="1:19" ht="12.75">
      <c r="A393" s="13">
        <v>3</v>
      </c>
      <c r="B393" s="130">
        <f>L94+B392</f>
        <v>299100.72</v>
      </c>
      <c r="C393" s="115"/>
      <c r="D393" s="130">
        <f t="shared" si="163"/>
        <v>20326.4512</v>
      </c>
      <c r="E393" s="130"/>
      <c r="F393" s="115"/>
      <c r="G393" s="115"/>
      <c r="H393" s="130">
        <f t="shared" si="164"/>
        <v>369.57184</v>
      </c>
      <c r="I393" s="130"/>
      <c r="J393" s="130">
        <f t="shared" si="165"/>
        <v>2679.3958399999997</v>
      </c>
      <c r="K393" s="130"/>
      <c r="L393" s="130"/>
      <c r="M393" s="130">
        <f t="shared" si="166"/>
        <v>4712.040959999999</v>
      </c>
      <c r="N393" s="130"/>
      <c r="O393" s="130"/>
      <c r="P393" s="114">
        <f t="shared" si="162"/>
        <v>28087.45984</v>
      </c>
      <c r="Q393" s="126"/>
      <c r="R393" s="130">
        <f t="shared" si="167"/>
        <v>90926.61888</v>
      </c>
      <c r="S393" s="115"/>
    </row>
    <row r="394" spans="1:19" ht="12.75">
      <c r="A394" s="13">
        <v>4</v>
      </c>
      <c r="B394" s="130">
        <f>N94+B393</f>
        <v>380532.75999999995</v>
      </c>
      <c r="C394" s="115"/>
      <c r="D394" s="130">
        <f t="shared" si="163"/>
        <v>17915.048799999997</v>
      </c>
      <c r="E394" s="130"/>
      <c r="F394" s="115"/>
      <c r="G394" s="115"/>
      <c r="H394" s="130">
        <f t="shared" si="164"/>
        <v>325.72815999999995</v>
      </c>
      <c r="I394" s="130"/>
      <c r="J394" s="130">
        <f t="shared" si="165"/>
        <v>2361.5291599999996</v>
      </c>
      <c r="K394" s="130"/>
      <c r="L394" s="130"/>
      <c r="M394" s="130">
        <f t="shared" si="166"/>
        <v>4153.034039999999</v>
      </c>
      <c r="N394" s="130"/>
      <c r="O394" s="130"/>
      <c r="P394" s="114">
        <f t="shared" si="162"/>
        <v>24755.340159999996</v>
      </c>
      <c r="Q394" s="126"/>
      <c r="R394" s="130">
        <f t="shared" si="167"/>
        <v>115681.95903999999</v>
      </c>
      <c r="S394" s="115"/>
    </row>
    <row r="395" spans="1:19" ht="12.75">
      <c r="A395" s="13">
        <v>5</v>
      </c>
      <c r="B395" s="130">
        <f>O94+B394</f>
        <v>421774.75999999995</v>
      </c>
      <c r="C395" s="115"/>
      <c r="D395" s="130">
        <f t="shared" si="163"/>
        <v>9073.24</v>
      </c>
      <c r="E395" s="130"/>
      <c r="F395" s="115"/>
      <c r="G395" s="115"/>
      <c r="H395" s="130">
        <f t="shared" si="164"/>
        <v>164.96800000000002</v>
      </c>
      <c r="I395" s="130"/>
      <c r="J395" s="130">
        <f t="shared" si="165"/>
        <v>1196.018</v>
      </c>
      <c r="K395" s="130"/>
      <c r="L395" s="130"/>
      <c r="M395" s="130">
        <f t="shared" si="166"/>
        <v>2103.342</v>
      </c>
      <c r="N395" s="130"/>
      <c r="O395" s="130"/>
      <c r="P395" s="114">
        <f t="shared" si="162"/>
        <v>12537.568</v>
      </c>
      <c r="Q395" s="126"/>
      <c r="R395" s="130">
        <f t="shared" si="167"/>
        <v>128219.52703999999</v>
      </c>
      <c r="S395" s="115"/>
    </row>
    <row r="396" spans="1:19" ht="12.75">
      <c r="A396" s="13">
        <v>6</v>
      </c>
      <c r="B396" s="130">
        <f>P94+B395</f>
        <v>466670.39999999997</v>
      </c>
      <c r="C396" s="115"/>
      <c r="D396" s="130">
        <f t="shared" si="163"/>
        <v>9877.040800000002</v>
      </c>
      <c r="E396" s="130"/>
      <c r="F396" s="130"/>
      <c r="G396" s="130"/>
      <c r="H396" s="130">
        <f t="shared" si="164"/>
        <v>179.58256000000006</v>
      </c>
      <c r="I396" s="130"/>
      <c r="J396" s="130">
        <f t="shared" si="165"/>
        <v>1301.9735600000004</v>
      </c>
      <c r="K396" s="130"/>
      <c r="L396" s="130"/>
      <c r="M396" s="130">
        <f t="shared" si="166"/>
        <v>2289.677640000001</v>
      </c>
      <c r="N396" s="130"/>
      <c r="O396" s="130"/>
      <c r="P396" s="114">
        <f t="shared" si="162"/>
        <v>13648.274560000003</v>
      </c>
      <c r="Q396" s="126"/>
      <c r="R396" s="130">
        <f t="shared" si="167"/>
        <v>141867.80159999998</v>
      </c>
      <c r="S396" s="115"/>
    </row>
    <row r="397" spans="1:19" ht="13.5" thickBot="1">
      <c r="A397" s="13">
        <v>7</v>
      </c>
      <c r="B397" s="130">
        <f>Q94+B396</f>
        <v>515219.67999999993</v>
      </c>
      <c r="C397" s="115"/>
      <c r="D397" s="130">
        <f t="shared" si="163"/>
        <v>10680.841599999994</v>
      </c>
      <c r="E397" s="130"/>
      <c r="F397" s="130"/>
      <c r="G397" s="130"/>
      <c r="H397" s="130">
        <f t="shared" si="164"/>
        <v>194.1971199999999</v>
      </c>
      <c r="I397" s="130"/>
      <c r="J397" s="130">
        <f t="shared" si="165"/>
        <v>1407.929119999999</v>
      </c>
      <c r="K397" s="130"/>
      <c r="L397" s="130"/>
      <c r="M397" s="130">
        <f t="shared" si="166"/>
        <v>2476.0132799999983</v>
      </c>
      <c r="N397" s="130"/>
      <c r="O397" s="130"/>
      <c r="P397" s="114">
        <f t="shared" si="162"/>
        <v>14758.981119999991</v>
      </c>
      <c r="Q397" s="126"/>
      <c r="R397" s="130">
        <f t="shared" si="167"/>
        <v>156626.78271999996</v>
      </c>
      <c r="S397" s="115"/>
    </row>
    <row r="398" spans="1:38" ht="13.5" thickBot="1">
      <c r="A398" s="18">
        <v>8</v>
      </c>
      <c r="B398" s="144">
        <f>R94+B397</f>
        <v>571076.24</v>
      </c>
      <c r="C398" s="145"/>
      <c r="D398" s="130">
        <f t="shared" si="163"/>
        <v>12288.443200000012</v>
      </c>
      <c r="E398" s="130"/>
      <c r="F398" s="144"/>
      <c r="G398" s="144"/>
      <c r="H398" s="130">
        <f t="shared" si="164"/>
        <v>223.42624000000023</v>
      </c>
      <c r="I398" s="130"/>
      <c r="J398" s="130">
        <f t="shared" si="165"/>
        <v>1619.8402400000016</v>
      </c>
      <c r="K398" s="130"/>
      <c r="L398" s="130"/>
      <c r="M398" s="130">
        <f t="shared" si="166"/>
        <v>2848.684560000003</v>
      </c>
      <c r="N398" s="130"/>
      <c r="O398" s="130"/>
      <c r="P398" s="142">
        <f t="shared" si="162"/>
        <v>16980.394240000016</v>
      </c>
      <c r="Q398" s="143"/>
      <c r="R398" s="144">
        <f t="shared" si="167"/>
        <v>173607.17695999998</v>
      </c>
      <c r="S398" s="145"/>
      <c r="T398" s="134" t="s">
        <v>106</v>
      </c>
      <c r="U398" s="135"/>
      <c r="V398" s="135"/>
      <c r="W398" s="135"/>
      <c r="X398" s="135"/>
      <c r="Y398" s="135"/>
      <c r="Z398" s="135"/>
      <c r="AA398" s="135"/>
      <c r="AB398" s="135"/>
      <c r="AC398" s="135"/>
      <c r="AD398" s="135"/>
      <c r="AE398" s="135"/>
      <c r="AF398" s="135"/>
      <c r="AG398" s="135"/>
      <c r="AH398" s="135"/>
      <c r="AI398" s="135"/>
      <c r="AJ398" s="135"/>
      <c r="AK398" s="135"/>
      <c r="AL398" s="136"/>
    </row>
    <row r="399" spans="1:38" ht="13.5" thickBot="1">
      <c r="A399" s="134" t="s">
        <v>92</v>
      </c>
      <c r="B399" s="135"/>
      <c r="C399" s="135"/>
      <c r="D399" s="135"/>
      <c r="E399" s="135"/>
      <c r="F399" s="135"/>
      <c r="G399" s="135"/>
      <c r="H399" s="135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  <c r="S399" s="136"/>
      <c r="T399" s="139" t="s">
        <v>92</v>
      </c>
      <c r="U399" s="140"/>
      <c r="V399" s="140"/>
      <c r="W399" s="140"/>
      <c r="X399" s="140"/>
      <c r="Y399" s="140"/>
      <c r="Z399" s="140"/>
      <c r="AA399" s="140"/>
      <c r="AB399" s="140"/>
      <c r="AC399" s="140"/>
      <c r="AD399" s="140"/>
      <c r="AE399" s="140"/>
      <c r="AF399" s="140"/>
      <c r="AG399" s="140"/>
      <c r="AH399" s="140"/>
      <c r="AI399" s="140"/>
      <c r="AJ399" s="140"/>
      <c r="AK399" s="140"/>
      <c r="AL399" s="141"/>
    </row>
    <row r="400" spans="1:38" ht="12.75">
      <c r="A400" s="17">
        <v>9</v>
      </c>
      <c r="B400" s="132">
        <f>G102+B398</f>
        <v>641547.36</v>
      </c>
      <c r="C400" s="133"/>
      <c r="D400" s="130">
        <f>(B400-B398)/100*22</f>
        <v>15503.6464</v>
      </c>
      <c r="E400" s="130"/>
      <c r="F400" s="133"/>
      <c r="G400" s="133"/>
      <c r="H400" s="130">
        <f>(B400-B398)/100*0.4</f>
        <v>281.88448</v>
      </c>
      <c r="I400" s="130"/>
      <c r="J400" s="130">
        <f>(B400-B398)/100*2.9</f>
        <v>2043.6624799999997</v>
      </c>
      <c r="K400" s="130"/>
      <c r="L400" s="130"/>
      <c r="M400" s="130">
        <f>(B400-B398)/100*5.1</f>
        <v>3594.0271199999997</v>
      </c>
      <c r="N400" s="130"/>
      <c r="O400" s="130"/>
      <c r="P400" s="137">
        <f>M400+J400+H400+D400</f>
        <v>21423.22048</v>
      </c>
      <c r="Q400" s="138"/>
      <c r="R400" s="132">
        <f>R398+P400</f>
        <v>195030.39743999997</v>
      </c>
      <c r="S400" s="133"/>
      <c r="T400" s="17">
        <v>9</v>
      </c>
      <c r="U400" s="132">
        <f>G102</f>
        <v>70471.12</v>
      </c>
      <c r="V400" s="133"/>
      <c r="W400" s="132">
        <f>U400/100*22</f>
        <v>15503.6464</v>
      </c>
      <c r="X400" s="132"/>
      <c r="Y400" s="133"/>
      <c r="Z400" s="133"/>
      <c r="AA400" s="132">
        <f>U400/100*0.4</f>
        <v>281.88448</v>
      </c>
      <c r="AB400" s="132"/>
      <c r="AC400" s="132">
        <f>U400/100*2.9</f>
        <v>2043.6624799999997</v>
      </c>
      <c r="AD400" s="132"/>
      <c r="AE400" s="132"/>
      <c r="AF400" s="132">
        <f>U400/100*5.1</f>
        <v>3594.0271199999997</v>
      </c>
      <c r="AG400" s="132"/>
      <c r="AH400" s="132"/>
      <c r="AI400" s="137">
        <f>AF400+AC400+AA400+W400</f>
        <v>21423.22048</v>
      </c>
      <c r="AJ400" s="138"/>
      <c r="AK400" s="132">
        <f>AI400</f>
        <v>21423.22048</v>
      </c>
      <c r="AL400" s="133"/>
    </row>
    <row r="401" spans="1:38" ht="12.75">
      <c r="A401" s="13">
        <v>10</v>
      </c>
      <c r="B401" s="130">
        <f>H102+B400</f>
        <v>726633.04</v>
      </c>
      <c r="C401" s="115"/>
      <c r="D401" s="130">
        <f>(B401-B400)/100*22</f>
        <v>18718.84960000001</v>
      </c>
      <c r="E401" s="130"/>
      <c r="F401" s="115"/>
      <c r="G401" s="115"/>
      <c r="H401" s="130">
        <f>(B401-B400)/100*0.4</f>
        <v>340.3427200000002</v>
      </c>
      <c r="I401" s="130"/>
      <c r="J401" s="130">
        <f>(B401-B400)/100*2.9</f>
        <v>2467.4847200000013</v>
      </c>
      <c r="K401" s="130"/>
      <c r="L401" s="130"/>
      <c r="M401" s="130">
        <f>(B401-B400)/100*5.1</f>
        <v>4339.3696800000025</v>
      </c>
      <c r="N401" s="130"/>
      <c r="O401" s="130"/>
      <c r="P401" s="114">
        <f>M401+J401+H401+D401</f>
        <v>25866.046720000013</v>
      </c>
      <c r="Q401" s="126"/>
      <c r="R401" s="130">
        <f>R400+P401</f>
        <v>220896.44415999998</v>
      </c>
      <c r="S401" s="115"/>
      <c r="T401" s="13">
        <v>10</v>
      </c>
      <c r="U401" s="130">
        <f>H102+U212</f>
        <v>174584.186</v>
      </c>
      <c r="V401" s="115"/>
      <c r="W401" s="130">
        <f>(U401-U400)/100*22</f>
        <v>22904.874519999998</v>
      </c>
      <c r="X401" s="130"/>
      <c r="Y401" s="115"/>
      <c r="Z401" s="115"/>
      <c r="AA401" s="130">
        <f>(U401-U400)/100*0.4</f>
        <v>416.45226399999996</v>
      </c>
      <c r="AB401" s="130"/>
      <c r="AC401" s="130">
        <f>(U401-U400)/100*2.9</f>
        <v>3019.2789139999995</v>
      </c>
      <c r="AD401" s="130"/>
      <c r="AE401" s="130"/>
      <c r="AF401" s="130">
        <f>(U401-U400)/100*5.1</f>
        <v>5309.766365999999</v>
      </c>
      <c r="AG401" s="130"/>
      <c r="AH401" s="130"/>
      <c r="AI401" s="137">
        <f>AF401+AC401+AA401+W401</f>
        <v>31650.372063999996</v>
      </c>
      <c r="AJ401" s="138"/>
      <c r="AK401" s="130">
        <f>AK400+AI401</f>
        <v>53073.592544</v>
      </c>
      <c r="AL401" s="115"/>
    </row>
    <row r="402" spans="1:38" ht="12.75">
      <c r="A402" s="13">
        <v>11</v>
      </c>
      <c r="B402" s="130">
        <f>I102+B401</f>
        <v>826333.28</v>
      </c>
      <c r="C402" s="115"/>
      <c r="D402" s="130">
        <f>(B402-B401)/100*22</f>
        <v>21934.052799999998</v>
      </c>
      <c r="E402" s="130"/>
      <c r="F402" s="130"/>
      <c r="G402" s="130"/>
      <c r="H402" s="130">
        <f>(B402-B401)/100*0.4</f>
        <v>398.80096</v>
      </c>
      <c r="I402" s="130"/>
      <c r="J402" s="130">
        <f>(B402-B401)/100*2.9</f>
        <v>2891.3069599999994</v>
      </c>
      <c r="K402" s="130"/>
      <c r="L402" s="130"/>
      <c r="M402" s="130">
        <f>(B402-B401)/100*5.1</f>
        <v>5084.712239999999</v>
      </c>
      <c r="N402" s="130"/>
      <c r="O402" s="130"/>
      <c r="P402" s="114">
        <f>M402+J402+H402+D402</f>
        <v>30308.872959999997</v>
      </c>
      <c r="Q402" s="126"/>
      <c r="R402" s="130">
        <f>R401+P402</f>
        <v>251205.31712</v>
      </c>
      <c r="S402" s="115"/>
      <c r="T402" s="13">
        <v>11</v>
      </c>
      <c r="U402" s="130">
        <f>I102+U213</f>
        <v>297257.83499999996</v>
      </c>
      <c r="V402" s="115"/>
      <c r="W402" s="130">
        <f>(U402-U401)/100*22</f>
        <v>26988.202779999996</v>
      </c>
      <c r="X402" s="130"/>
      <c r="Y402" s="130"/>
      <c r="Z402" s="130"/>
      <c r="AA402" s="130">
        <f>(U402-U401)/100*0.4</f>
        <v>490.69459599999993</v>
      </c>
      <c r="AB402" s="130"/>
      <c r="AC402" s="130">
        <f>(U402-U401)/100*2.9</f>
        <v>3557.535820999999</v>
      </c>
      <c r="AD402" s="130"/>
      <c r="AE402" s="130"/>
      <c r="AF402" s="130">
        <f>(U402-U401)/100*5.1</f>
        <v>6256.356098999999</v>
      </c>
      <c r="AG402" s="130"/>
      <c r="AH402" s="130"/>
      <c r="AI402" s="137">
        <f>AF402+AC402+AA402+W402</f>
        <v>37292.789295999995</v>
      </c>
      <c r="AJ402" s="138"/>
      <c r="AK402" s="130">
        <f>AK401+AI402</f>
        <v>90366.38183999999</v>
      </c>
      <c r="AL402" s="115"/>
    </row>
    <row r="403" spans="1:38" ht="13.5" thickBot="1">
      <c r="A403" s="13">
        <v>12</v>
      </c>
      <c r="B403" s="130">
        <f>J102+B402</f>
        <v>940648.0800000001</v>
      </c>
      <c r="C403" s="115"/>
      <c r="D403" s="130">
        <f>(B403-B402)/100*22</f>
        <v>25149.25600000001</v>
      </c>
      <c r="E403" s="130"/>
      <c r="F403" s="130"/>
      <c r="G403" s="130"/>
      <c r="H403" s="130">
        <f>(B403-B402)/100*0.4</f>
        <v>457.2592000000002</v>
      </c>
      <c r="I403" s="130"/>
      <c r="J403" s="130">
        <f>(B403-B402)/100*2.9</f>
        <v>3315.1292000000008</v>
      </c>
      <c r="K403" s="130"/>
      <c r="L403" s="130"/>
      <c r="M403" s="130">
        <f>(B403-B402)/100*5.1</f>
        <v>5830.054800000002</v>
      </c>
      <c r="N403" s="130"/>
      <c r="O403" s="130"/>
      <c r="P403" s="114">
        <f>M403+J403+H403+D403</f>
        <v>34751.69920000001</v>
      </c>
      <c r="Q403" s="126"/>
      <c r="R403" s="130">
        <f>R402+P403</f>
        <v>285957.01632</v>
      </c>
      <c r="S403" s="115"/>
      <c r="T403" s="13">
        <v>12</v>
      </c>
      <c r="U403" s="130">
        <f>J102+U214</f>
        <v>438492.067</v>
      </c>
      <c r="V403" s="115"/>
      <c r="W403" s="130">
        <f>(U403-U402)/100*22</f>
        <v>31071.531040000005</v>
      </c>
      <c r="X403" s="130"/>
      <c r="Y403" s="130"/>
      <c r="Z403" s="130"/>
      <c r="AA403" s="130">
        <f>(U403-U402)/100*0.4</f>
        <v>564.9369280000001</v>
      </c>
      <c r="AB403" s="130"/>
      <c r="AC403" s="130">
        <f>(U403-U402)/100*2.9</f>
        <v>4095.7927280000004</v>
      </c>
      <c r="AD403" s="130"/>
      <c r="AE403" s="130"/>
      <c r="AF403" s="130">
        <f>(U403-U402)/100*5.1</f>
        <v>7202.945832</v>
      </c>
      <c r="AG403" s="130"/>
      <c r="AH403" s="130"/>
      <c r="AI403" s="114">
        <f>AF403+AC403+AA403+W403</f>
        <v>42935.20652800001</v>
      </c>
      <c r="AJ403" s="126"/>
      <c r="AK403" s="130">
        <f>AK402+AI403</f>
        <v>133301.588368</v>
      </c>
      <c r="AL403" s="115"/>
    </row>
    <row r="404" spans="1:19" ht="13.5" thickBot="1">
      <c r="A404" s="134" t="s">
        <v>90</v>
      </c>
      <c r="B404" s="135"/>
      <c r="C404" s="135"/>
      <c r="D404" s="135"/>
      <c r="E404" s="135"/>
      <c r="F404" s="135"/>
      <c r="G404" s="135"/>
      <c r="H404" s="135"/>
      <c r="I404" s="135"/>
      <c r="J404" s="135"/>
      <c r="K404" s="135"/>
      <c r="L404" s="135"/>
      <c r="M404" s="135"/>
      <c r="N404" s="135"/>
      <c r="O404" s="135"/>
      <c r="P404" s="135"/>
      <c r="Q404" s="135"/>
      <c r="R404" s="135"/>
      <c r="S404" s="136"/>
    </row>
    <row r="405" spans="1:19" ht="12.75">
      <c r="A405" s="17">
        <v>1</v>
      </c>
      <c r="B405" s="132">
        <f>L102</f>
        <v>114314.8</v>
      </c>
      <c r="C405" s="133"/>
      <c r="D405" s="132">
        <f>B405/100*22</f>
        <v>25149.256</v>
      </c>
      <c r="E405" s="132"/>
      <c r="F405" s="133"/>
      <c r="G405" s="133"/>
      <c r="H405" s="132">
        <f>B405/100*0.4</f>
        <v>457.2592000000001</v>
      </c>
      <c r="I405" s="132"/>
      <c r="J405" s="132">
        <f>B405/100*2.9</f>
        <v>3315.1292000000003</v>
      </c>
      <c r="K405" s="132"/>
      <c r="L405" s="132"/>
      <c r="M405" s="132">
        <f>B405/100*5.1</f>
        <v>5830.0548</v>
      </c>
      <c r="N405" s="132"/>
      <c r="O405" s="132"/>
      <c r="P405" s="137">
        <f aca="true" t="shared" si="168" ref="P405:P412">M405+J405+H405+D405</f>
        <v>34751.6992</v>
      </c>
      <c r="Q405" s="138"/>
      <c r="R405" s="132">
        <f>P405</f>
        <v>34751.6992</v>
      </c>
      <c r="S405" s="133"/>
    </row>
    <row r="406" spans="1:19" ht="12.75">
      <c r="A406" s="13">
        <v>2</v>
      </c>
      <c r="B406" s="130">
        <f>L102+B405</f>
        <v>228629.6</v>
      </c>
      <c r="C406" s="115"/>
      <c r="D406" s="130">
        <f aca="true" t="shared" si="169" ref="D406:D412">(B406-B405)/100*22</f>
        <v>25149.256</v>
      </c>
      <c r="E406" s="130"/>
      <c r="F406" s="115"/>
      <c r="G406" s="115"/>
      <c r="H406" s="130">
        <f aca="true" t="shared" si="170" ref="H406:H412">(B406-B405)/100*0.4</f>
        <v>457.2592000000001</v>
      </c>
      <c r="I406" s="130"/>
      <c r="J406" s="130">
        <f aca="true" t="shared" si="171" ref="J406:J412">(B406-B405)/100*2.9</f>
        <v>3315.1292000000003</v>
      </c>
      <c r="K406" s="130"/>
      <c r="L406" s="130"/>
      <c r="M406" s="130">
        <f aca="true" t="shared" si="172" ref="M406:M412">(B406-B405)/100*5.1</f>
        <v>5830.0548</v>
      </c>
      <c r="N406" s="130"/>
      <c r="O406" s="130"/>
      <c r="P406" s="114">
        <f t="shared" si="168"/>
        <v>34751.6992</v>
      </c>
      <c r="Q406" s="126"/>
      <c r="R406" s="130">
        <f aca="true" t="shared" si="173" ref="R406:R412">R405+P406</f>
        <v>69503.3984</v>
      </c>
      <c r="S406" s="115"/>
    </row>
    <row r="407" spans="1:19" ht="12.75">
      <c r="A407" s="13">
        <v>3</v>
      </c>
      <c r="B407" s="130">
        <f>M102+B406</f>
        <v>323458.32</v>
      </c>
      <c r="C407" s="115"/>
      <c r="D407" s="130">
        <f t="shared" si="169"/>
        <v>20862.3184</v>
      </c>
      <c r="E407" s="130"/>
      <c r="F407" s="115"/>
      <c r="G407" s="115"/>
      <c r="H407" s="130">
        <f t="shared" si="170"/>
        <v>379.31488</v>
      </c>
      <c r="I407" s="130"/>
      <c r="J407" s="130">
        <f t="shared" si="171"/>
        <v>2750.0328799999997</v>
      </c>
      <c r="K407" s="130"/>
      <c r="L407" s="130"/>
      <c r="M407" s="130">
        <f t="shared" si="172"/>
        <v>4836.264719999999</v>
      </c>
      <c r="N407" s="130"/>
      <c r="O407" s="130"/>
      <c r="P407" s="114">
        <f t="shared" si="168"/>
        <v>28827.93088</v>
      </c>
      <c r="Q407" s="126"/>
      <c r="R407" s="130">
        <f t="shared" si="173"/>
        <v>98331.32928</v>
      </c>
      <c r="S407" s="115"/>
    </row>
    <row r="408" spans="1:19" ht="12.75">
      <c r="A408" s="13">
        <v>4</v>
      </c>
      <c r="B408" s="130">
        <f>N102+B407</f>
        <v>420722.80000000005</v>
      </c>
      <c r="C408" s="115"/>
      <c r="D408" s="130">
        <f t="shared" si="169"/>
        <v>21398.185600000008</v>
      </c>
      <c r="E408" s="130"/>
      <c r="F408" s="115"/>
      <c r="G408" s="115"/>
      <c r="H408" s="130">
        <f t="shared" si="170"/>
        <v>389.0579200000002</v>
      </c>
      <c r="I408" s="130"/>
      <c r="J408" s="130">
        <f t="shared" si="171"/>
        <v>2820.669920000001</v>
      </c>
      <c r="K408" s="130"/>
      <c r="L408" s="130"/>
      <c r="M408" s="130">
        <f t="shared" si="172"/>
        <v>4960.488480000002</v>
      </c>
      <c r="N408" s="130"/>
      <c r="O408" s="130"/>
      <c r="P408" s="114">
        <f t="shared" si="168"/>
        <v>29568.40192000001</v>
      </c>
      <c r="Q408" s="126"/>
      <c r="R408" s="130">
        <f t="shared" si="173"/>
        <v>127899.73120000001</v>
      </c>
      <c r="S408" s="115"/>
    </row>
    <row r="409" spans="1:19" ht="12.75">
      <c r="A409" s="13">
        <v>5</v>
      </c>
      <c r="B409" s="130">
        <f>O102+B408</f>
        <v>461964.80000000005</v>
      </c>
      <c r="C409" s="115"/>
      <c r="D409" s="130">
        <f t="shared" si="169"/>
        <v>9073.24</v>
      </c>
      <c r="E409" s="130"/>
      <c r="F409" s="115"/>
      <c r="G409" s="115"/>
      <c r="H409" s="130">
        <f t="shared" si="170"/>
        <v>164.96800000000002</v>
      </c>
      <c r="I409" s="130"/>
      <c r="J409" s="130">
        <f t="shared" si="171"/>
        <v>1196.018</v>
      </c>
      <c r="K409" s="130"/>
      <c r="L409" s="130"/>
      <c r="M409" s="130">
        <f t="shared" si="172"/>
        <v>2103.342</v>
      </c>
      <c r="N409" s="130"/>
      <c r="O409" s="130"/>
      <c r="P409" s="114">
        <f t="shared" si="168"/>
        <v>12537.568</v>
      </c>
      <c r="Q409" s="126"/>
      <c r="R409" s="130">
        <f t="shared" si="173"/>
        <v>140437.2992</v>
      </c>
      <c r="S409" s="115"/>
    </row>
    <row r="410" spans="1:19" ht="12.75">
      <c r="A410" s="13">
        <v>6</v>
      </c>
      <c r="B410" s="130">
        <f>P102+B409</f>
        <v>512949.84</v>
      </c>
      <c r="C410" s="115"/>
      <c r="D410" s="130">
        <f t="shared" si="169"/>
        <v>11216.708799999997</v>
      </c>
      <c r="E410" s="130"/>
      <c r="F410" s="130"/>
      <c r="G410" s="130"/>
      <c r="H410" s="130">
        <f t="shared" si="170"/>
        <v>203.94015999999993</v>
      </c>
      <c r="I410" s="130"/>
      <c r="J410" s="130">
        <f t="shared" si="171"/>
        <v>1478.5661599999994</v>
      </c>
      <c r="K410" s="130"/>
      <c r="L410" s="130"/>
      <c r="M410" s="130">
        <f t="shared" si="172"/>
        <v>2600.237039999999</v>
      </c>
      <c r="N410" s="130"/>
      <c r="O410" s="130"/>
      <c r="P410" s="114">
        <f t="shared" si="168"/>
        <v>15499.452159999995</v>
      </c>
      <c r="Q410" s="126"/>
      <c r="R410" s="130">
        <f t="shared" si="173"/>
        <v>155936.75136</v>
      </c>
      <c r="S410" s="115"/>
    </row>
    <row r="411" spans="1:19" ht="12.75">
      <c r="A411" s="13">
        <v>7</v>
      </c>
      <c r="B411" s="130">
        <f>Q102+B410</f>
        <v>563934.88</v>
      </c>
      <c r="C411" s="115"/>
      <c r="D411" s="130">
        <f t="shared" si="169"/>
        <v>11216.708799999997</v>
      </c>
      <c r="E411" s="130"/>
      <c r="F411" s="130"/>
      <c r="G411" s="130"/>
      <c r="H411" s="130">
        <f t="shared" si="170"/>
        <v>203.94015999999993</v>
      </c>
      <c r="I411" s="130"/>
      <c r="J411" s="130">
        <f t="shared" si="171"/>
        <v>1478.5661599999994</v>
      </c>
      <c r="K411" s="130"/>
      <c r="L411" s="130"/>
      <c r="M411" s="130">
        <f t="shared" si="172"/>
        <v>2600.237039999999</v>
      </c>
      <c r="N411" s="130"/>
      <c r="O411" s="130"/>
      <c r="P411" s="114">
        <f t="shared" si="168"/>
        <v>15499.452159999995</v>
      </c>
      <c r="Q411" s="126"/>
      <c r="R411" s="130">
        <f t="shared" si="173"/>
        <v>171436.20351999998</v>
      </c>
      <c r="S411" s="115"/>
    </row>
    <row r="412" spans="1:19" ht="13.5" thickBot="1">
      <c r="A412" s="18">
        <v>8</v>
      </c>
      <c r="B412" s="144">
        <f>R102+B411</f>
        <v>629534.48</v>
      </c>
      <c r="C412" s="145"/>
      <c r="D412" s="130">
        <f t="shared" si="169"/>
        <v>14431.911999999995</v>
      </c>
      <c r="E412" s="130"/>
      <c r="F412" s="144"/>
      <c r="G412" s="144"/>
      <c r="H412" s="130">
        <f t="shared" si="170"/>
        <v>262.3983999999999</v>
      </c>
      <c r="I412" s="130"/>
      <c r="J412" s="130">
        <f t="shared" si="171"/>
        <v>1902.3883999999991</v>
      </c>
      <c r="K412" s="130"/>
      <c r="L412" s="130"/>
      <c r="M412" s="130">
        <f t="shared" si="172"/>
        <v>3345.5795999999987</v>
      </c>
      <c r="N412" s="130"/>
      <c r="O412" s="130"/>
      <c r="P412" s="142">
        <f t="shared" si="168"/>
        <v>19942.278399999992</v>
      </c>
      <c r="Q412" s="143"/>
      <c r="R412" s="144">
        <f t="shared" si="173"/>
        <v>191378.48191999996</v>
      </c>
      <c r="S412" s="145"/>
    </row>
    <row r="413" spans="1:19" ht="13.5" thickBot="1">
      <c r="A413" s="134" t="s">
        <v>93</v>
      </c>
      <c r="B413" s="135"/>
      <c r="C413" s="135"/>
      <c r="D413" s="135"/>
      <c r="E413" s="135"/>
      <c r="F413" s="135"/>
      <c r="G413" s="135"/>
      <c r="H413" s="135"/>
      <c r="I413" s="135"/>
      <c r="J413" s="135"/>
      <c r="K413" s="135"/>
      <c r="L413" s="135"/>
      <c r="M413" s="135"/>
      <c r="N413" s="135"/>
      <c r="O413" s="135"/>
      <c r="P413" s="135"/>
      <c r="Q413" s="135"/>
      <c r="R413" s="135"/>
      <c r="S413" s="136"/>
    </row>
    <row r="414" spans="1:19" ht="12.75">
      <c r="A414" s="17">
        <v>9</v>
      </c>
      <c r="B414" s="132">
        <f>G110+B412</f>
        <v>690262.5599999999</v>
      </c>
      <c r="C414" s="133"/>
      <c r="D414" s="130">
        <f>(B414-B412)/100*22</f>
        <v>13360.17759999999</v>
      </c>
      <c r="E414" s="130"/>
      <c r="F414" s="133"/>
      <c r="G414" s="133"/>
      <c r="H414" s="130">
        <f>(B414-B412)/100*0.4</f>
        <v>242.91231999999982</v>
      </c>
      <c r="I414" s="130"/>
      <c r="J414" s="130">
        <f>(B414-B412)/100*2.9</f>
        <v>1761.1143199999985</v>
      </c>
      <c r="K414" s="130"/>
      <c r="L414" s="130"/>
      <c r="M414" s="130">
        <f>(B414-B412)/100*5.1</f>
        <v>3097.1320799999976</v>
      </c>
      <c r="N414" s="130"/>
      <c r="O414" s="130"/>
      <c r="P414" s="137">
        <f>M414+J414+H414+D414</f>
        <v>18461.336319999988</v>
      </c>
      <c r="Q414" s="138"/>
      <c r="R414" s="132">
        <f>R412+P414</f>
        <v>209839.81823999994</v>
      </c>
      <c r="S414" s="133"/>
    </row>
    <row r="415" spans="1:19" ht="12.75">
      <c r="A415" s="13">
        <v>10</v>
      </c>
      <c r="B415" s="130">
        <f>H110+B414</f>
        <v>775348.24</v>
      </c>
      <c r="C415" s="115"/>
      <c r="D415" s="130">
        <f>(B415-B414)/100*22</f>
        <v>18718.84960000001</v>
      </c>
      <c r="E415" s="130"/>
      <c r="F415" s="115"/>
      <c r="G415" s="115"/>
      <c r="H415" s="130">
        <f>(B415-B414)/100*0.4</f>
        <v>340.3427200000002</v>
      </c>
      <c r="I415" s="130"/>
      <c r="J415" s="130">
        <f>(B415-B414)/100*2.9</f>
        <v>2467.4847200000013</v>
      </c>
      <c r="K415" s="130"/>
      <c r="L415" s="130"/>
      <c r="M415" s="130">
        <f>(B415-B414)/100*5.1</f>
        <v>4339.3696800000025</v>
      </c>
      <c r="N415" s="130"/>
      <c r="O415" s="130"/>
      <c r="P415" s="114">
        <f>M415+J415+H415+D415</f>
        <v>25866.046720000013</v>
      </c>
      <c r="Q415" s="126"/>
      <c r="R415" s="130">
        <f>R414+P415</f>
        <v>235705.86495999995</v>
      </c>
      <c r="S415" s="115"/>
    </row>
    <row r="416" spans="1:19" ht="12.75">
      <c r="A416" s="13">
        <v>11</v>
      </c>
      <c r="B416" s="130">
        <f>I110+B415</f>
        <v>875048.48</v>
      </c>
      <c r="C416" s="115"/>
      <c r="D416" s="130">
        <f>(B416-B415)/100*22</f>
        <v>21934.052799999998</v>
      </c>
      <c r="E416" s="130"/>
      <c r="F416" s="130"/>
      <c r="G416" s="130"/>
      <c r="H416" s="130">
        <f>(B416-B415)/100*0.4</f>
        <v>398.80096</v>
      </c>
      <c r="I416" s="130"/>
      <c r="J416" s="130">
        <f>(B416-B415)/100*2.9</f>
        <v>2891.3069599999994</v>
      </c>
      <c r="K416" s="130"/>
      <c r="L416" s="130"/>
      <c r="M416" s="130">
        <f>(B416-B415)/100*5.1</f>
        <v>5084.712239999999</v>
      </c>
      <c r="N416" s="130"/>
      <c r="O416" s="130"/>
      <c r="P416" s="114">
        <f>M416+J416+H416+D416</f>
        <v>30308.872959999997</v>
      </c>
      <c r="Q416" s="126"/>
      <c r="R416" s="130">
        <f>R415+P416</f>
        <v>266014.7379199999</v>
      </c>
      <c r="S416" s="115"/>
    </row>
    <row r="417" spans="1:19" ht="13.5" thickBot="1">
      <c r="A417" s="13">
        <v>12</v>
      </c>
      <c r="B417" s="130">
        <f>J110+B416</f>
        <v>989363.28</v>
      </c>
      <c r="C417" s="115"/>
      <c r="D417" s="130">
        <f>(B417-B416)/100*22</f>
        <v>25149.25600000001</v>
      </c>
      <c r="E417" s="130"/>
      <c r="F417" s="130"/>
      <c r="G417" s="130"/>
      <c r="H417" s="130">
        <f>(B417-B416)/100*0.4</f>
        <v>457.2592000000002</v>
      </c>
      <c r="I417" s="130"/>
      <c r="J417" s="130">
        <f>(912000-B416)/100*2.9</f>
        <v>1071.5940800000005</v>
      </c>
      <c r="K417" s="130"/>
      <c r="L417" s="130"/>
      <c r="M417" s="130">
        <f>(B417-B416)/100*5.1</f>
        <v>5830.054800000002</v>
      </c>
      <c r="N417" s="130"/>
      <c r="O417" s="130"/>
      <c r="P417" s="114">
        <f>M417+J417+H417+D417</f>
        <v>32508.16408000001</v>
      </c>
      <c r="Q417" s="126"/>
      <c r="R417" s="130">
        <f>R416+P417</f>
        <v>298522.90199999994</v>
      </c>
      <c r="S417" s="115"/>
    </row>
    <row r="418" spans="1:19" ht="13.5" thickBot="1">
      <c r="A418" s="134" t="s">
        <v>90</v>
      </c>
      <c r="B418" s="135"/>
      <c r="C418" s="135"/>
      <c r="D418" s="135"/>
      <c r="E418" s="135"/>
      <c r="F418" s="135"/>
      <c r="G418" s="135"/>
      <c r="H418" s="135"/>
      <c r="I418" s="135"/>
      <c r="J418" s="135"/>
      <c r="K418" s="135"/>
      <c r="L418" s="135"/>
      <c r="M418" s="135"/>
      <c r="N418" s="135"/>
      <c r="O418" s="135"/>
      <c r="P418" s="135"/>
      <c r="Q418" s="135"/>
      <c r="R418" s="135"/>
      <c r="S418" s="136"/>
    </row>
    <row r="419" spans="1:19" ht="12.75">
      <c r="A419" s="17">
        <v>1</v>
      </c>
      <c r="B419" s="132">
        <f>K110</f>
        <v>114314.8</v>
      </c>
      <c r="C419" s="133"/>
      <c r="D419" s="132">
        <f>B419/100*22</f>
        <v>25149.256</v>
      </c>
      <c r="E419" s="132"/>
      <c r="F419" s="133"/>
      <c r="G419" s="133"/>
      <c r="H419" s="132">
        <f>B419/100*0.4</f>
        <v>457.2592000000001</v>
      </c>
      <c r="I419" s="132"/>
      <c r="J419" s="132">
        <f>B419/100*2.9</f>
        <v>3315.1292000000003</v>
      </c>
      <c r="K419" s="132"/>
      <c r="L419" s="132"/>
      <c r="M419" s="132">
        <f>B419/100*5.1</f>
        <v>5830.0548</v>
      </c>
      <c r="N419" s="132"/>
      <c r="O419" s="132"/>
      <c r="P419" s="137">
        <f aca="true" t="shared" si="174" ref="P419:P426">M419+J419+H419+D419</f>
        <v>34751.6992</v>
      </c>
      <c r="Q419" s="138"/>
      <c r="R419" s="132">
        <f>P419</f>
        <v>34751.6992</v>
      </c>
      <c r="S419" s="133"/>
    </row>
    <row r="420" spans="1:19" ht="12.75">
      <c r="A420" s="13">
        <v>2</v>
      </c>
      <c r="B420" s="130">
        <f>L110+B419</f>
        <v>228629.6</v>
      </c>
      <c r="C420" s="115"/>
      <c r="D420" s="130">
        <f aca="true" t="shared" si="175" ref="D420:D426">(B420-B419)/100*22</f>
        <v>25149.256</v>
      </c>
      <c r="E420" s="130"/>
      <c r="F420" s="115"/>
      <c r="G420" s="115"/>
      <c r="H420" s="130">
        <f aca="true" t="shared" si="176" ref="H420:H426">(B420-B419)/100*0.4</f>
        <v>457.2592000000001</v>
      </c>
      <c r="I420" s="130"/>
      <c r="J420" s="130">
        <f aca="true" t="shared" si="177" ref="J420:J426">(B420-B419)/100*2.9</f>
        <v>3315.1292000000003</v>
      </c>
      <c r="K420" s="130"/>
      <c r="L420" s="130"/>
      <c r="M420" s="130">
        <f aca="true" t="shared" si="178" ref="M420:M426">(B420-B419)/100*5.1</f>
        <v>5830.0548</v>
      </c>
      <c r="N420" s="130"/>
      <c r="O420" s="130"/>
      <c r="P420" s="114">
        <f t="shared" si="174"/>
        <v>34751.6992</v>
      </c>
      <c r="Q420" s="126"/>
      <c r="R420" s="130">
        <f aca="true" t="shared" si="179" ref="R420:R426">R419+P420</f>
        <v>69503.3984</v>
      </c>
      <c r="S420" s="115"/>
    </row>
    <row r="421" spans="1:19" ht="12.75">
      <c r="A421" s="13">
        <v>3</v>
      </c>
      <c r="B421" s="130">
        <f>M110+B420</f>
        <v>325894.08</v>
      </c>
      <c r="C421" s="115"/>
      <c r="D421" s="130">
        <f t="shared" si="175"/>
        <v>21398.185600000004</v>
      </c>
      <c r="E421" s="130"/>
      <c r="F421" s="115"/>
      <c r="G421" s="115"/>
      <c r="H421" s="130">
        <f t="shared" si="176"/>
        <v>389.0579200000001</v>
      </c>
      <c r="I421" s="130"/>
      <c r="J421" s="130">
        <f t="shared" si="177"/>
        <v>2820.6699200000003</v>
      </c>
      <c r="K421" s="130"/>
      <c r="L421" s="130"/>
      <c r="M421" s="130">
        <f t="shared" si="178"/>
        <v>4960.48848</v>
      </c>
      <c r="N421" s="130"/>
      <c r="O421" s="130"/>
      <c r="P421" s="114">
        <f t="shared" si="174"/>
        <v>29568.401920000004</v>
      </c>
      <c r="Q421" s="126"/>
      <c r="R421" s="130">
        <f t="shared" si="179"/>
        <v>99071.80032000001</v>
      </c>
      <c r="S421" s="115"/>
    </row>
    <row r="422" spans="1:19" ht="12.75">
      <c r="A422" s="13">
        <v>4</v>
      </c>
      <c r="B422" s="130">
        <f>N110+B421</f>
        <v>423158.56000000006</v>
      </c>
      <c r="C422" s="115"/>
      <c r="D422" s="130">
        <f t="shared" si="175"/>
        <v>21398.185600000008</v>
      </c>
      <c r="E422" s="130"/>
      <c r="F422" s="115"/>
      <c r="G422" s="115"/>
      <c r="H422" s="130">
        <f t="shared" si="176"/>
        <v>389.0579200000002</v>
      </c>
      <c r="I422" s="130"/>
      <c r="J422" s="130">
        <f t="shared" si="177"/>
        <v>2820.669920000001</v>
      </c>
      <c r="K422" s="130"/>
      <c r="L422" s="130"/>
      <c r="M422" s="130">
        <f t="shared" si="178"/>
        <v>4960.488480000002</v>
      </c>
      <c r="N422" s="130"/>
      <c r="O422" s="130"/>
      <c r="P422" s="114">
        <f t="shared" si="174"/>
        <v>29568.40192000001</v>
      </c>
      <c r="Q422" s="126"/>
      <c r="R422" s="130">
        <f t="shared" si="179"/>
        <v>128640.20224000001</v>
      </c>
      <c r="S422" s="115"/>
    </row>
    <row r="423" spans="1:19" ht="12.75">
      <c r="A423" s="13">
        <v>5</v>
      </c>
      <c r="B423" s="130">
        <f>O110+B422</f>
        <v>464400.56000000006</v>
      </c>
      <c r="C423" s="115"/>
      <c r="D423" s="130">
        <f t="shared" si="175"/>
        <v>9073.24</v>
      </c>
      <c r="E423" s="130"/>
      <c r="F423" s="115"/>
      <c r="G423" s="115"/>
      <c r="H423" s="130">
        <f t="shared" si="176"/>
        <v>164.96800000000002</v>
      </c>
      <c r="I423" s="130"/>
      <c r="J423" s="130">
        <f t="shared" si="177"/>
        <v>1196.018</v>
      </c>
      <c r="K423" s="130"/>
      <c r="L423" s="130"/>
      <c r="M423" s="130">
        <f t="shared" si="178"/>
        <v>2103.342</v>
      </c>
      <c r="N423" s="130"/>
      <c r="O423" s="130"/>
      <c r="P423" s="114">
        <f t="shared" si="174"/>
        <v>12537.568</v>
      </c>
      <c r="Q423" s="126"/>
      <c r="R423" s="130">
        <f t="shared" si="179"/>
        <v>141177.77024</v>
      </c>
      <c r="S423" s="115"/>
    </row>
    <row r="424" spans="1:19" ht="12.75">
      <c r="A424" s="13">
        <v>6</v>
      </c>
      <c r="B424" s="130">
        <f>P110+B423</f>
        <v>512949.8400000001</v>
      </c>
      <c r="C424" s="115"/>
      <c r="D424" s="130">
        <f t="shared" si="175"/>
        <v>10680.841600000005</v>
      </c>
      <c r="E424" s="130"/>
      <c r="F424" s="130"/>
      <c r="G424" s="130"/>
      <c r="H424" s="130">
        <f t="shared" si="176"/>
        <v>194.19712000000013</v>
      </c>
      <c r="I424" s="130"/>
      <c r="J424" s="130">
        <f t="shared" si="177"/>
        <v>1407.9291200000007</v>
      </c>
      <c r="K424" s="130"/>
      <c r="L424" s="130"/>
      <c r="M424" s="130">
        <f t="shared" si="178"/>
        <v>2476.013280000001</v>
      </c>
      <c r="N424" s="130"/>
      <c r="O424" s="130"/>
      <c r="P424" s="114">
        <f t="shared" si="174"/>
        <v>14758.981120000008</v>
      </c>
      <c r="Q424" s="126"/>
      <c r="R424" s="130">
        <f t="shared" si="179"/>
        <v>155936.75136000002</v>
      </c>
      <c r="S424" s="115"/>
    </row>
    <row r="425" spans="1:19" ht="12.75">
      <c r="A425" s="13">
        <v>7</v>
      </c>
      <c r="B425" s="130">
        <f>Q110+B424</f>
        <v>563934.8800000001</v>
      </c>
      <c r="C425" s="115"/>
      <c r="D425" s="130">
        <f t="shared" si="175"/>
        <v>11216.708800000008</v>
      </c>
      <c r="E425" s="130"/>
      <c r="F425" s="130"/>
      <c r="G425" s="130"/>
      <c r="H425" s="130">
        <f t="shared" si="176"/>
        <v>203.94016000000016</v>
      </c>
      <c r="I425" s="130"/>
      <c r="J425" s="130">
        <f t="shared" si="177"/>
        <v>1478.566160000001</v>
      </c>
      <c r="K425" s="130"/>
      <c r="L425" s="130"/>
      <c r="M425" s="130">
        <f t="shared" si="178"/>
        <v>2600.237040000002</v>
      </c>
      <c r="N425" s="130"/>
      <c r="O425" s="130"/>
      <c r="P425" s="114">
        <f t="shared" si="174"/>
        <v>15499.452160000012</v>
      </c>
      <c r="Q425" s="126"/>
      <c r="R425" s="130">
        <f t="shared" si="179"/>
        <v>171436.20352000004</v>
      </c>
      <c r="S425" s="115"/>
    </row>
    <row r="426" spans="1:19" ht="13.5" thickBot="1">
      <c r="A426" s="18">
        <v>8</v>
      </c>
      <c r="B426" s="144">
        <f>R110+B425</f>
        <v>631970.2400000001</v>
      </c>
      <c r="C426" s="145"/>
      <c r="D426" s="130">
        <f t="shared" si="175"/>
        <v>14967.779199999997</v>
      </c>
      <c r="E426" s="130"/>
      <c r="F426" s="144"/>
      <c r="G426" s="144"/>
      <c r="H426" s="130">
        <f t="shared" si="176"/>
        <v>272.14144</v>
      </c>
      <c r="I426" s="130"/>
      <c r="J426" s="130">
        <f t="shared" si="177"/>
        <v>1973.0254399999997</v>
      </c>
      <c r="K426" s="130"/>
      <c r="L426" s="130"/>
      <c r="M426" s="130">
        <f t="shared" si="178"/>
        <v>3469.8033599999994</v>
      </c>
      <c r="N426" s="130"/>
      <c r="O426" s="130"/>
      <c r="P426" s="142">
        <f t="shared" si="174"/>
        <v>20682.749439999996</v>
      </c>
      <c r="Q426" s="143"/>
      <c r="R426" s="144">
        <f t="shared" si="179"/>
        <v>192118.95296000002</v>
      </c>
      <c r="S426" s="145"/>
    </row>
    <row r="427" spans="1:19" ht="13.5" thickBot="1">
      <c r="A427" s="134" t="s">
        <v>94</v>
      </c>
      <c r="B427" s="135"/>
      <c r="C427" s="135"/>
      <c r="D427" s="135"/>
      <c r="E427" s="135"/>
      <c r="F427" s="135"/>
      <c r="G427" s="135"/>
      <c r="H427" s="135"/>
      <c r="I427" s="135"/>
      <c r="J427" s="135"/>
      <c r="K427" s="135"/>
      <c r="L427" s="135"/>
      <c r="M427" s="135"/>
      <c r="N427" s="135"/>
      <c r="O427" s="135"/>
      <c r="P427" s="135"/>
      <c r="Q427" s="135"/>
      <c r="R427" s="135"/>
      <c r="S427" s="136"/>
    </row>
    <row r="428" spans="1:19" ht="12.75">
      <c r="A428" s="17">
        <v>9</v>
      </c>
      <c r="B428" s="132">
        <f>G118+B426</f>
        <v>690262.56</v>
      </c>
      <c r="C428" s="133"/>
      <c r="D428" s="130">
        <f>(B428-B426)/100*22</f>
        <v>12824.31039999999</v>
      </c>
      <c r="E428" s="130"/>
      <c r="F428" s="133"/>
      <c r="G428" s="133"/>
      <c r="H428" s="130">
        <f>(B428-B426)/100*0.4</f>
        <v>233.16927999999982</v>
      </c>
      <c r="I428" s="130"/>
      <c r="J428" s="130">
        <f>(B428-B426)/100*2.9</f>
        <v>1690.4772799999985</v>
      </c>
      <c r="K428" s="130"/>
      <c r="L428" s="130"/>
      <c r="M428" s="130">
        <f>(B428-B426)/100*5.1</f>
        <v>2972.9083199999973</v>
      </c>
      <c r="N428" s="130"/>
      <c r="O428" s="130"/>
      <c r="P428" s="137">
        <f>M428+J428+H428+D428</f>
        <v>17720.865279999984</v>
      </c>
      <c r="Q428" s="138"/>
      <c r="R428" s="132">
        <f>R426+P428</f>
        <v>209839.81824</v>
      </c>
      <c r="S428" s="133"/>
    </row>
    <row r="429" spans="1:19" ht="12.75">
      <c r="A429" s="13">
        <v>10</v>
      </c>
      <c r="B429" s="130">
        <f>H118+B428</f>
        <v>775348.24</v>
      </c>
      <c r="C429" s="115"/>
      <c r="D429" s="130">
        <f>(B429-B428)/100*22</f>
        <v>18718.849599999987</v>
      </c>
      <c r="E429" s="130"/>
      <c r="F429" s="115"/>
      <c r="G429" s="115"/>
      <c r="H429" s="130">
        <f>(B429-B428)/100*0.4</f>
        <v>340.34271999999976</v>
      </c>
      <c r="I429" s="130"/>
      <c r="J429" s="130">
        <f>(B429-B428)/100*2.9</f>
        <v>2467.484719999998</v>
      </c>
      <c r="K429" s="130"/>
      <c r="L429" s="130"/>
      <c r="M429" s="130">
        <f>(B429-B428)/100*5.1</f>
        <v>4339.369679999996</v>
      </c>
      <c r="N429" s="130"/>
      <c r="O429" s="130"/>
      <c r="P429" s="114">
        <f>M429+J429+H429+D429</f>
        <v>25866.04671999998</v>
      </c>
      <c r="Q429" s="126"/>
      <c r="R429" s="130">
        <f>R428+P429</f>
        <v>235705.86495999998</v>
      </c>
      <c r="S429" s="115"/>
    </row>
    <row r="430" spans="1:19" ht="12.75">
      <c r="A430" s="13">
        <v>11</v>
      </c>
      <c r="B430" s="130">
        <f>I118+B429</f>
        <v>875048.48</v>
      </c>
      <c r="C430" s="115"/>
      <c r="D430" s="130">
        <f>(B430-B429)/100*22</f>
        <v>21934.052799999998</v>
      </c>
      <c r="E430" s="130"/>
      <c r="F430" s="130"/>
      <c r="G430" s="130"/>
      <c r="H430" s="130">
        <f>(B430-B429)/100*0.4</f>
        <v>398.80096</v>
      </c>
      <c r="I430" s="130"/>
      <c r="J430" s="130">
        <f>(B430-B429)/100*2.9</f>
        <v>2891.3069599999994</v>
      </c>
      <c r="K430" s="130"/>
      <c r="L430" s="130"/>
      <c r="M430" s="130">
        <f>(B430-B429)/100*5.1</f>
        <v>5084.712239999999</v>
      </c>
      <c r="N430" s="130"/>
      <c r="O430" s="130"/>
      <c r="P430" s="114">
        <f>M430+J430+H430+D430</f>
        <v>30308.872959999997</v>
      </c>
      <c r="Q430" s="126"/>
      <c r="R430" s="130">
        <f>R429+P430</f>
        <v>266014.73792</v>
      </c>
      <c r="S430" s="115"/>
    </row>
    <row r="431" spans="1:19" ht="13.5" thickBot="1">
      <c r="A431" s="13">
        <v>12</v>
      </c>
      <c r="B431" s="130">
        <f>J118+B430</f>
        <v>989363.28</v>
      </c>
      <c r="C431" s="115"/>
      <c r="D431" s="130">
        <f>(B431-B430)/100*22</f>
        <v>25149.25600000001</v>
      </c>
      <c r="E431" s="130"/>
      <c r="F431" s="130"/>
      <c r="G431" s="130"/>
      <c r="H431" s="130">
        <f>(B431-B430)/100*0.4</f>
        <v>457.2592000000002</v>
      </c>
      <c r="I431" s="130"/>
      <c r="J431" s="130">
        <f>(912000-B430)/100*2.9</f>
        <v>1071.5940800000005</v>
      </c>
      <c r="K431" s="130"/>
      <c r="L431" s="130"/>
      <c r="M431" s="130">
        <f>(B431-B430)/100*5.1</f>
        <v>5830.054800000002</v>
      </c>
      <c r="N431" s="130"/>
      <c r="O431" s="130"/>
      <c r="P431" s="114">
        <f>M431+J431+H431+D431</f>
        <v>32508.16408000001</v>
      </c>
      <c r="Q431" s="126"/>
      <c r="R431" s="130">
        <f>R430+P431</f>
        <v>298522.902</v>
      </c>
      <c r="S431" s="115"/>
    </row>
    <row r="432" spans="1:19" ht="13.5" thickBot="1">
      <c r="A432" s="134" t="s">
        <v>90</v>
      </c>
      <c r="B432" s="135"/>
      <c r="C432" s="135"/>
      <c r="D432" s="135"/>
      <c r="E432" s="135"/>
      <c r="F432" s="135"/>
      <c r="G432" s="135"/>
      <c r="H432" s="135"/>
      <c r="I432" s="135"/>
      <c r="J432" s="135"/>
      <c r="K432" s="135"/>
      <c r="L432" s="135"/>
      <c r="M432" s="135"/>
      <c r="N432" s="135"/>
      <c r="O432" s="135"/>
      <c r="P432" s="135"/>
      <c r="Q432" s="135"/>
      <c r="R432" s="135"/>
      <c r="S432" s="136"/>
    </row>
    <row r="433" spans="1:19" ht="12.75">
      <c r="A433" s="17">
        <v>1</v>
      </c>
      <c r="B433" s="132">
        <f>K118</f>
        <v>114314.8</v>
      </c>
      <c r="C433" s="133"/>
      <c r="D433" s="132">
        <f>B433/100*22</f>
        <v>25149.256</v>
      </c>
      <c r="E433" s="132"/>
      <c r="F433" s="133"/>
      <c r="G433" s="133"/>
      <c r="H433" s="132">
        <f>B433/100*0.4</f>
        <v>457.2592000000001</v>
      </c>
      <c r="I433" s="132"/>
      <c r="J433" s="132">
        <f>B433/100*2.9</f>
        <v>3315.1292000000003</v>
      </c>
      <c r="K433" s="132"/>
      <c r="L433" s="132"/>
      <c r="M433" s="132">
        <f>B433/100*5.1</f>
        <v>5830.0548</v>
      </c>
      <c r="N433" s="132"/>
      <c r="O433" s="132"/>
      <c r="P433" s="137">
        <f aca="true" t="shared" si="180" ref="P433:P440">M433+J433+H433+D433</f>
        <v>34751.6992</v>
      </c>
      <c r="Q433" s="138"/>
      <c r="R433" s="132">
        <f>P433</f>
        <v>34751.6992</v>
      </c>
      <c r="S433" s="133"/>
    </row>
    <row r="434" spans="1:19" ht="12.75">
      <c r="A434" s="13">
        <v>2</v>
      </c>
      <c r="B434" s="130">
        <f>L118+B433</f>
        <v>228629.6</v>
      </c>
      <c r="C434" s="115"/>
      <c r="D434" s="130">
        <f aca="true" t="shared" si="181" ref="D434:D440">(B434-B433)/100*22</f>
        <v>25149.256</v>
      </c>
      <c r="E434" s="130"/>
      <c r="F434" s="115"/>
      <c r="G434" s="115"/>
      <c r="H434" s="130">
        <f aca="true" t="shared" si="182" ref="H434:H440">(B434-B433)/100*0.4</f>
        <v>457.2592000000001</v>
      </c>
      <c r="I434" s="130"/>
      <c r="J434" s="130">
        <f aca="true" t="shared" si="183" ref="J434:J440">(B434-B433)/100*2.9</f>
        <v>3315.1292000000003</v>
      </c>
      <c r="K434" s="130"/>
      <c r="L434" s="130"/>
      <c r="M434" s="130">
        <f aca="true" t="shared" si="184" ref="M434:M440">(B434-B433)/100*5.1</f>
        <v>5830.0548</v>
      </c>
      <c r="N434" s="130"/>
      <c r="O434" s="130"/>
      <c r="P434" s="114">
        <f t="shared" si="180"/>
        <v>34751.6992</v>
      </c>
      <c r="Q434" s="126"/>
      <c r="R434" s="130">
        <f aca="true" t="shared" si="185" ref="R434:R440">R433+P434</f>
        <v>69503.3984</v>
      </c>
      <c r="S434" s="115"/>
    </row>
    <row r="435" spans="1:19" ht="12.75">
      <c r="A435" s="13">
        <v>3</v>
      </c>
      <c r="B435" s="130">
        <f>M118+B434</f>
        <v>325894.08</v>
      </c>
      <c r="C435" s="115"/>
      <c r="D435" s="130">
        <f t="shared" si="181"/>
        <v>21398.185600000004</v>
      </c>
      <c r="E435" s="130"/>
      <c r="F435" s="115"/>
      <c r="G435" s="115"/>
      <c r="H435" s="130">
        <f t="shared" si="182"/>
        <v>389.0579200000001</v>
      </c>
      <c r="I435" s="130"/>
      <c r="J435" s="130">
        <f t="shared" si="183"/>
        <v>2820.6699200000003</v>
      </c>
      <c r="K435" s="130"/>
      <c r="L435" s="130"/>
      <c r="M435" s="130">
        <f t="shared" si="184"/>
        <v>4960.48848</v>
      </c>
      <c r="N435" s="130"/>
      <c r="O435" s="130"/>
      <c r="P435" s="114">
        <f t="shared" si="180"/>
        <v>29568.401920000004</v>
      </c>
      <c r="Q435" s="126"/>
      <c r="R435" s="130">
        <f t="shared" si="185"/>
        <v>99071.80032000001</v>
      </c>
      <c r="S435" s="115"/>
    </row>
    <row r="436" spans="1:19" ht="12.75">
      <c r="A436" s="13">
        <v>4</v>
      </c>
      <c r="B436" s="130">
        <f>N118+B435</f>
        <v>423158.56000000006</v>
      </c>
      <c r="C436" s="115"/>
      <c r="D436" s="130">
        <f t="shared" si="181"/>
        <v>21398.185600000008</v>
      </c>
      <c r="E436" s="130"/>
      <c r="F436" s="115"/>
      <c r="G436" s="115"/>
      <c r="H436" s="130">
        <f t="shared" si="182"/>
        <v>389.0579200000002</v>
      </c>
      <c r="I436" s="130"/>
      <c r="J436" s="130">
        <f t="shared" si="183"/>
        <v>2820.669920000001</v>
      </c>
      <c r="K436" s="130"/>
      <c r="L436" s="130"/>
      <c r="M436" s="130">
        <f t="shared" si="184"/>
        <v>4960.488480000002</v>
      </c>
      <c r="N436" s="130"/>
      <c r="O436" s="130"/>
      <c r="P436" s="114">
        <f t="shared" si="180"/>
        <v>29568.40192000001</v>
      </c>
      <c r="Q436" s="126"/>
      <c r="R436" s="130">
        <f t="shared" si="185"/>
        <v>128640.20224000001</v>
      </c>
      <c r="S436" s="115"/>
    </row>
    <row r="437" spans="1:19" ht="12.75">
      <c r="A437" s="13">
        <v>5</v>
      </c>
      <c r="B437" s="130">
        <f>O118+B436</f>
        <v>464400.56000000006</v>
      </c>
      <c r="C437" s="115"/>
      <c r="D437" s="130">
        <f t="shared" si="181"/>
        <v>9073.24</v>
      </c>
      <c r="E437" s="130"/>
      <c r="F437" s="115"/>
      <c r="G437" s="115"/>
      <c r="H437" s="130">
        <f t="shared" si="182"/>
        <v>164.96800000000002</v>
      </c>
      <c r="I437" s="130"/>
      <c r="J437" s="130">
        <f t="shared" si="183"/>
        <v>1196.018</v>
      </c>
      <c r="K437" s="130"/>
      <c r="L437" s="130"/>
      <c r="M437" s="130">
        <f t="shared" si="184"/>
        <v>2103.342</v>
      </c>
      <c r="N437" s="130"/>
      <c r="O437" s="130"/>
      <c r="P437" s="114">
        <f t="shared" si="180"/>
        <v>12537.568</v>
      </c>
      <c r="Q437" s="126"/>
      <c r="R437" s="130">
        <f t="shared" si="185"/>
        <v>141177.77024</v>
      </c>
      <c r="S437" s="115"/>
    </row>
    <row r="438" spans="1:19" ht="12.75">
      <c r="A438" s="13">
        <v>6</v>
      </c>
      <c r="B438" s="130">
        <f>P118+B437</f>
        <v>512949.8400000001</v>
      </c>
      <c r="C438" s="115"/>
      <c r="D438" s="130">
        <f t="shared" si="181"/>
        <v>10680.841600000005</v>
      </c>
      <c r="E438" s="130"/>
      <c r="F438" s="130"/>
      <c r="G438" s="130"/>
      <c r="H438" s="130">
        <f t="shared" si="182"/>
        <v>194.19712000000013</v>
      </c>
      <c r="I438" s="130"/>
      <c r="J438" s="130">
        <f t="shared" si="183"/>
        <v>1407.9291200000007</v>
      </c>
      <c r="K438" s="130"/>
      <c r="L438" s="130"/>
      <c r="M438" s="130">
        <f t="shared" si="184"/>
        <v>2476.013280000001</v>
      </c>
      <c r="N438" s="130"/>
      <c r="O438" s="130"/>
      <c r="P438" s="114">
        <f t="shared" si="180"/>
        <v>14758.981120000008</v>
      </c>
      <c r="Q438" s="126"/>
      <c r="R438" s="130">
        <f t="shared" si="185"/>
        <v>155936.75136000002</v>
      </c>
      <c r="S438" s="115"/>
    </row>
    <row r="439" spans="1:19" ht="12.75">
      <c r="A439" s="13">
        <v>7</v>
      </c>
      <c r="B439" s="130">
        <f>Q118+B438</f>
        <v>563934.8800000001</v>
      </c>
      <c r="C439" s="115"/>
      <c r="D439" s="130">
        <f t="shared" si="181"/>
        <v>11216.708800000008</v>
      </c>
      <c r="E439" s="130"/>
      <c r="F439" s="130"/>
      <c r="G439" s="130"/>
      <c r="H439" s="130">
        <f t="shared" si="182"/>
        <v>203.94016000000016</v>
      </c>
      <c r="I439" s="130"/>
      <c r="J439" s="130">
        <f t="shared" si="183"/>
        <v>1478.566160000001</v>
      </c>
      <c r="K439" s="130"/>
      <c r="L439" s="130"/>
      <c r="M439" s="130">
        <f t="shared" si="184"/>
        <v>2600.237040000002</v>
      </c>
      <c r="N439" s="130"/>
      <c r="O439" s="130"/>
      <c r="P439" s="114">
        <f t="shared" si="180"/>
        <v>15499.452160000012</v>
      </c>
      <c r="Q439" s="126"/>
      <c r="R439" s="130">
        <f t="shared" si="185"/>
        <v>171436.20352000004</v>
      </c>
      <c r="S439" s="115"/>
    </row>
    <row r="440" spans="1:19" ht="13.5" thickBot="1">
      <c r="A440" s="18">
        <v>8</v>
      </c>
      <c r="B440" s="144">
        <f>R118+B439</f>
        <v>631970.2400000001</v>
      </c>
      <c r="C440" s="145"/>
      <c r="D440" s="130">
        <f t="shared" si="181"/>
        <v>14967.779199999997</v>
      </c>
      <c r="E440" s="130"/>
      <c r="F440" s="144"/>
      <c r="G440" s="144"/>
      <c r="H440" s="130">
        <f t="shared" si="182"/>
        <v>272.14144</v>
      </c>
      <c r="I440" s="130"/>
      <c r="J440" s="130">
        <f t="shared" si="183"/>
        <v>1973.0254399999997</v>
      </c>
      <c r="K440" s="130"/>
      <c r="L440" s="130"/>
      <c r="M440" s="130">
        <f t="shared" si="184"/>
        <v>3469.8033599999994</v>
      </c>
      <c r="N440" s="130"/>
      <c r="O440" s="130"/>
      <c r="P440" s="142">
        <f t="shared" si="180"/>
        <v>20682.749439999996</v>
      </c>
      <c r="Q440" s="143"/>
      <c r="R440" s="144">
        <f t="shared" si="185"/>
        <v>192118.95296000002</v>
      </c>
      <c r="S440" s="145"/>
    </row>
    <row r="441" spans="1:19" ht="13.5" thickBot="1">
      <c r="A441" s="134" t="s">
        <v>95</v>
      </c>
      <c r="B441" s="135"/>
      <c r="C441" s="135"/>
      <c r="D441" s="135"/>
      <c r="E441" s="135"/>
      <c r="F441" s="135"/>
      <c r="G441" s="135"/>
      <c r="H441" s="135"/>
      <c r="I441" s="135"/>
      <c r="J441" s="135"/>
      <c r="K441" s="135"/>
      <c r="L441" s="135"/>
      <c r="M441" s="135"/>
      <c r="N441" s="135"/>
      <c r="O441" s="135"/>
      <c r="P441" s="135"/>
      <c r="Q441" s="135"/>
      <c r="R441" s="135"/>
      <c r="S441" s="136"/>
    </row>
    <row r="442" spans="1:19" ht="12.75">
      <c r="A442" s="17">
        <v>9</v>
      </c>
      <c r="B442" s="132">
        <f>G126+B440</f>
        <v>692698.3200000001</v>
      </c>
      <c r="C442" s="133"/>
      <c r="D442" s="130">
        <f>(B442-B440)/100*22</f>
        <v>13360.17759999999</v>
      </c>
      <c r="E442" s="130"/>
      <c r="F442" s="133"/>
      <c r="G442" s="133"/>
      <c r="H442" s="130">
        <f>(B442-B440)/100*0.4</f>
        <v>242.91231999999982</v>
      </c>
      <c r="I442" s="130"/>
      <c r="J442" s="130">
        <f>(B442-B440)/100*2.9</f>
        <v>1761.1143199999985</v>
      </c>
      <c r="K442" s="130"/>
      <c r="L442" s="130"/>
      <c r="M442" s="130">
        <f>(B442-B440)/100*5.1</f>
        <v>3097.1320799999976</v>
      </c>
      <c r="N442" s="130"/>
      <c r="O442" s="130"/>
      <c r="P442" s="137">
        <f>M442+J442+H442+D442</f>
        <v>18461.336319999988</v>
      </c>
      <c r="Q442" s="138"/>
      <c r="R442" s="132">
        <f>R440+P442</f>
        <v>210580.28928000003</v>
      </c>
      <c r="S442" s="133"/>
    </row>
    <row r="443" spans="1:19" ht="12.75">
      <c r="A443" s="13">
        <v>10</v>
      </c>
      <c r="B443" s="130">
        <f>H126+B442</f>
        <v>775348.24</v>
      </c>
      <c r="C443" s="115"/>
      <c r="D443" s="130">
        <f>(B443-B442)/100*22</f>
        <v>18182.982399999986</v>
      </c>
      <c r="E443" s="130"/>
      <c r="F443" s="115"/>
      <c r="G443" s="115"/>
      <c r="H443" s="130">
        <f>(B443-B442)/100*0.4</f>
        <v>330.59967999999975</v>
      </c>
      <c r="I443" s="130"/>
      <c r="J443" s="130">
        <f>(B443-B442)/100*2.9</f>
        <v>2396.847679999998</v>
      </c>
      <c r="K443" s="130"/>
      <c r="L443" s="130"/>
      <c r="M443" s="130">
        <f>(B443-B442)/100*5.1</f>
        <v>4215.145919999996</v>
      </c>
      <c r="N443" s="130"/>
      <c r="O443" s="130"/>
      <c r="P443" s="114">
        <f>M443+J443+H443+D443</f>
        <v>25125.57567999998</v>
      </c>
      <c r="Q443" s="126"/>
      <c r="R443" s="130">
        <f>R442+P443</f>
        <v>235705.86496</v>
      </c>
      <c r="S443" s="115"/>
    </row>
    <row r="444" spans="1:19" ht="12.75">
      <c r="A444" s="13">
        <v>11</v>
      </c>
      <c r="B444" s="130">
        <f>I126+B443</f>
        <v>875048.48</v>
      </c>
      <c r="C444" s="115"/>
      <c r="D444" s="130">
        <f>(B444-B443)/100*22</f>
        <v>21934.052799999998</v>
      </c>
      <c r="E444" s="130"/>
      <c r="F444" s="130"/>
      <c r="G444" s="130"/>
      <c r="H444" s="130">
        <f>(B444-B443)/100*0.4</f>
        <v>398.80096</v>
      </c>
      <c r="I444" s="130"/>
      <c r="J444" s="130">
        <f>(B444-B443)/100*2.9</f>
        <v>2891.3069599999994</v>
      </c>
      <c r="K444" s="130"/>
      <c r="L444" s="130"/>
      <c r="M444" s="130">
        <f>(B444-B443)/100*5.1</f>
        <v>5084.712239999999</v>
      </c>
      <c r="N444" s="130"/>
      <c r="O444" s="130"/>
      <c r="P444" s="114">
        <f>M444+J444+H444+D444</f>
        <v>30308.872959999997</v>
      </c>
      <c r="Q444" s="126"/>
      <c r="R444" s="130">
        <f>R443+P444</f>
        <v>266014.73792</v>
      </c>
      <c r="S444" s="115"/>
    </row>
    <row r="445" spans="1:19" ht="13.5" thickBot="1">
      <c r="A445" s="13">
        <v>12</v>
      </c>
      <c r="B445" s="130">
        <f>J126+B444</f>
        <v>989363.28</v>
      </c>
      <c r="C445" s="115"/>
      <c r="D445" s="130">
        <f>(B445-B444)/100*22</f>
        <v>25149.25600000001</v>
      </c>
      <c r="E445" s="130"/>
      <c r="F445" s="130"/>
      <c r="G445" s="130"/>
      <c r="H445" s="130">
        <f>(B445-B444)/100*0.4</f>
        <v>457.2592000000002</v>
      </c>
      <c r="I445" s="130"/>
      <c r="J445" s="130">
        <f>(912000-B444)/100*2.9</f>
        <v>1071.5940800000005</v>
      </c>
      <c r="K445" s="130"/>
      <c r="L445" s="130"/>
      <c r="M445" s="130">
        <f>(B445-B444)/100*5.1</f>
        <v>5830.054800000002</v>
      </c>
      <c r="N445" s="130"/>
      <c r="O445" s="130"/>
      <c r="P445" s="114">
        <f>M445+J445+H445+D445</f>
        <v>32508.16408000001</v>
      </c>
      <c r="Q445" s="126"/>
      <c r="R445" s="130">
        <f>R444+P445</f>
        <v>298522.902</v>
      </c>
      <c r="S445" s="115"/>
    </row>
    <row r="446" spans="1:19" ht="13.5" thickBot="1">
      <c r="A446" s="134" t="s">
        <v>90</v>
      </c>
      <c r="B446" s="135"/>
      <c r="C446" s="135"/>
      <c r="D446" s="135"/>
      <c r="E446" s="135"/>
      <c r="F446" s="135"/>
      <c r="G446" s="135"/>
      <c r="H446" s="135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  <c r="S446" s="136"/>
    </row>
    <row r="447" spans="1:19" ht="12.75">
      <c r="A447" s="17">
        <v>1</v>
      </c>
      <c r="B447" s="132">
        <f>K126</f>
        <v>114314.8</v>
      </c>
      <c r="C447" s="133"/>
      <c r="D447" s="132">
        <f>B447/100*22</f>
        <v>25149.256</v>
      </c>
      <c r="E447" s="132"/>
      <c r="F447" s="133"/>
      <c r="G447" s="133"/>
      <c r="H447" s="132">
        <f>B447/100*0.4</f>
        <v>457.2592000000001</v>
      </c>
      <c r="I447" s="132"/>
      <c r="J447" s="132">
        <f>B447/100*2.9</f>
        <v>3315.1292000000003</v>
      </c>
      <c r="K447" s="132"/>
      <c r="L447" s="132"/>
      <c r="M447" s="132">
        <f>B447/100*5.1</f>
        <v>5830.0548</v>
      </c>
      <c r="N447" s="132"/>
      <c r="O447" s="132"/>
      <c r="P447" s="137">
        <f aca="true" t="shared" si="186" ref="P447:P454">M447+J447+H447+D447</f>
        <v>34751.6992</v>
      </c>
      <c r="Q447" s="138"/>
      <c r="R447" s="132">
        <f>P447</f>
        <v>34751.6992</v>
      </c>
      <c r="S447" s="133"/>
    </row>
    <row r="448" spans="1:19" ht="12.75">
      <c r="A448" s="13">
        <v>2</v>
      </c>
      <c r="B448" s="130">
        <f>L126+B447</f>
        <v>228629.6</v>
      </c>
      <c r="C448" s="115"/>
      <c r="D448" s="130">
        <f aca="true" t="shared" si="187" ref="D448:D454">(B448-B447)/100*22</f>
        <v>25149.256</v>
      </c>
      <c r="E448" s="130"/>
      <c r="F448" s="115"/>
      <c r="G448" s="115"/>
      <c r="H448" s="130">
        <f aca="true" t="shared" si="188" ref="H448:H454">(B448-B447)/100*0.4</f>
        <v>457.2592000000001</v>
      </c>
      <c r="I448" s="130"/>
      <c r="J448" s="130">
        <f aca="true" t="shared" si="189" ref="J448:J454">(B448-B447)/100*2.9</f>
        <v>3315.1292000000003</v>
      </c>
      <c r="K448" s="130"/>
      <c r="L448" s="130"/>
      <c r="M448" s="130">
        <f aca="true" t="shared" si="190" ref="M448:M454">(B448-B447)/100*5.1</f>
        <v>5830.0548</v>
      </c>
      <c r="N448" s="130"/>
      <c r="O448" s="130"/>
      <c r="P448" s="114">
        <f t="shared" si="186"/>
        <v>34751.6992</v>
      </c>
      <c r="Q448" s="126"/>
      <c r="R448" s="130">
        <f aca="true" t="shared" si="191" ref="R448:R454">R447+P448</f>
        <v>69503.3984</v>
      </c>
      <c r="S448" s="115"/>
    </row>
    <row r="449" spans="1:19" ht="12.75">
      <c r="A449" s="13">
        <v>3</v>
      </c>
      <c r="B449" s="130">
        <f>M126+B448</f>
        <v>325894.08</v>
      </c>
      <c r="C449" s="115"/>
      <c r="D449" s="130">
        <f t="shared" si="187"/>
        <v>21398.185600000004</v>
      </c>
      <c r="E449" s="130"/>
      <c r="F449" s="115"/>
      <c r="G449" s="115"/>
      <c r="H449" s="130">
        <f t="shared" si="188"/>
        <v>389.0579200000001</v>
      </c>
      <c r="I449" s="130"/>
      <c r="J449" s="130">
        <f t="shared" si="189"/>
        <v>2820.6699200000003</v>
      </c>
      <c r="K449" s="130"/>
      <c r="L449" s="130"/>
      <c r="M449" s="130">
        <f t="shared" si="190"/>
        <v>4960.48848</v>
      </c>
      <c r="N449" s="130"/>
      <c r="O449" s="130"/>
      <c r="P449" s="114">
        <f t="shared" si="186"/>
        <v>29568.401920000004</v>
      </c>
      <c r="Q449" s="126"/>
      <c r="R449" s="130">
        <f t="shared" si="191"/>
        <v>99071.80032000001</v>
      </c>
      <c r="S449" s="115"/>
    </row>
    <row r="450" spans="1:19" ht="12.75">
      <c r="A450" s="13">
        <v>4</v>
      </c>
      <c r="B450" s="130">
        <f>N126+B449</f>
        <v>423158.56000000006</v>
      </c>
      <c r="C450" s="115"/>
      <c r="D450" s="130">
        <f t="shared" si="187"/>
        <v>21398.185600000008</v>
      </c>
      <c r="E450" s="130"/>
      <c r="F450" s="115"/>
      <c r="G450" s="115"/>
      <c r="H450" s="130">
        <f t="shared" si="188"/>
        <v>389.0579200000002</v>
      </c>
      <c r="I450" s="130"/>
      <c r="J450" s="130">
        <f t="shared" si="189"/>
        <v>2820.669920000001</v>
      </c>
      <c r="K450" s="130"/>
      <c r="L450" s="130"/>
      <c r="M450" s="130">
        <f t="shared" si="190"/>
        <v>4960.488480000002</v>
      </c>
      <c r="N450" s="130"/>
      <c r="O450" s="130"/>
      <c r="P450" s="114">
        <f t="shared" si="186"/>
        <v>29568.40192000001</v>
      </c>
      <c r="Q450" s="126"/>
      <c r="R450" s="130">
        <f t="shared" si="191"/>
        <v>128640.20224000001</v>
      </c>
      <c r="S450" s="115"/>
    </row>
    <row r="451" spans="1:19" ht="12.75">
      <c r="A451" s="13">
        <v>5</v>
      </c>
      <c r="B451" s="130">
        <f>O126+B450</f>
        <v>464400.56000000006</v>
      </c>
      <c r="C451" s="115"/>
      <c r="D451" s="130">
        <f t="shared" si="187"/>
        <v>9073.24</v>
      </c>
      <c r="E451" s="130"/>
      <c r="F451" s="115"/>
      <c r="G451" s="115"/>
      <c r="H451" s="130">
        <f t="shared" si="188"/>
        <v>164.96800000000002</v>
      </c>
      <c r="I451" s="130"/>
      <c r="J451" s="130">
        <f t="shared" si="189"/>
        <v>1196.018</v>
      </c>
      <c r="K451" s="130"/>
      <c r="L451" s="130"/>
      <c r="M451" s="130">
        <f t="shared" si="190"/>
        <v>2103.342</v>
      </c>
      <c r="N451" s="130"/>
      <c r="O451" s="130"/>
      <c r="P451" s="114">
        <f t="shared" si="186"/>
        <v>12537.568</v>
      </c>
      <c r="Q451" s="126"/>
      <c r="R451" s="130">
        <f t="shared" si="191"/>
        <v>141177.77024</v>
      </c>
      <c r="S451" s="115"/>
    </row>
    <row r="452" spans="1:19" ht="12.75">
      <c r="A452" s="13">
        <v>6</v>
      </c>
      <c r="B452" s="130">
        <f>P126+B451</f>
        <v>515385.60000000003</v>
      </c>
      <c r="C452" s="115"/>
      <c r="D452" s="130">
        <f t="shared" si="187"/>
        <v>11216.708799999997</v>
      </c>
      <c r="E452" s="130"/>
      <c r="F452" s="130"/>
      <c r="G452" s="130"/>
      <c r="H452" s="130">
        <f t="shared" si="188"/>
        <v>203.94015999999993</v>
      </c>
      <c r="I452" s="130"/>
      <c r="J452" s="130">
        <f t="shared" si="189"/>
        <v>1478.5661599999994</v>
      </c>
      <c r="K452" s="130"/>
      <c r="L452" s="130"/>
      <c r="M452" s="130">
        <f t="shared" si="190"/>
        <v>2600.237039999999</v>
      </c>
      <c r="N452" s="130"/>
      <c r="O452" s="130"/>
      <c r="P452" s="114">
        <f t="shared" si="186"/>
        <v>15499.452159999995</v>
      </c>
      <c r="Q452" s="126"/>
      <c r="R452" s="130">
        <f t="shared" si="191"/>
        <v>156677.2224</v>
      </c>
      <c r="S452" s="115"/>
    </row>
    <row r="453" spans="1:19" ht="12.75">
      <c r="A453" s="13">
        <v>7</v>
      </c>
      <c r="B453" s="130">
        <f>Q126+B452</f>
        <v>563934.88</v>
      </c>
      <c r="C453" s="115"/>
      <c r="D453" s="130">
        <f t="shared" si="187"/>
        <v>10680.841599999994</v>
      </c>
      <c r="E453" s="130"/>
      <c r="F453" s="130"/>
      <c r="G453" s="130"/>
      <c r="H453" s="130">
        <f t="shared" si="188"/>
        <v>194.1971199999999</v>
      </c>
      <c r="I453" s="130"/>
      <c r="J453" s="130">
        <f t="shared" si="189"/>
        <v>1407.929119999999</v>
      </c>
      <c r="K453" s="130"/>
      <c r="L453" s="130"/>
      <c r="M453" s="130">
        <f t="shared" si="190"/>
        <v>2476.0132799999983</v>
      </c>
      <c r="N453" s="130"/>
      <c r="O453" s="130"/>
      <c r="P453" s="114">
        <f t="shared" si="186"/>
        <v>14758.981119999991</v>
      </c>
      <c r="Q453" s="126"/>
      <c r="R453" s="130">
        <f t="shared" si="191"/>
        <v>171436.20351999998</v>
      </c>
      <c r="S453" s="115"/>
    </row>
    <row r="454" spans="1:19" ht="13.5" thickBot="1">
      <c r="A454" s="18">
        <v>8</v>
      </c>
      <c r="B454" s="144">
        <f>R126+B453</f>
        <v>631970.24</v>
      </c>
      <c r="C454" s="145"/>
      <c r="D454" s="130">
        <f t="shared" si="187"/>
        <v>14967.779199999997</v>
      </c>
      <c r="E454" s="130"/>
      <c r="F454" s="144"/>
      <c r="G454" s="144"/>
      <c r="H454" s="130">
        <f t="shared" si="188"/>
        <v>272.14144</v>
      </c>
      <c r="I454" s="130"/>
      <c r="J454" s="130">
        <f t="shared" si="189"/>
        <v>1973.0254399999997</v>
      </c>
      <c r="K454" s="130"/>
      <c r="L454" s="130"/>
      <c r="M454" s="130">
        <f t="shared" si="190"/>
        <v>3469.8033599999994</v>
      </c>
      <c r="N454" s="130"/>
      <c r="O454" s="130"/>
      <c r="P454" s="142">
        <f t="shared" si="186"/>
        <v>20682.749439999996</v>
      </c>
      <c r="Q454" s="143"/>
      <c r="R454" s="144">
        <f t="shared" si="191"/>
        <v>192118.95295999997</v>
      </c>
      <c r="S454" s="145"/>
    </row>
    <row r="455" spans="1:19" ht="13.5" thickBot="1">
      <c r="A455" s="134" t="s">
        <v>96</v>
      </c>
      <c r="B455" s="135"/>
      <c r="C455" s="135"/>
      <c r="D455" s="135"/>
      <c r="E455" s="135"/>
      <c r="F455" s="135"/>
      <c r="G455" s="135"/>
      <c r="H455" s="135"/>
      <c r="I455" s="135"/>
      <c r="J455" s="135"/>
      <c r="K455" s="135"/>
      <c r="L455" s="135"/>
      <c r="M455" s="135"/>
      <c r="N455" s="135"/>
      <c r="O455" s="135"/>
      <c r="P455" s="135"/>
      <c r="Q455" s="135"/>
      <c r="R455" s="135"/>
      <c r="S455" s="136"/>
    </row>
    <row r="456" spans="1:19" ht="12.75">
      <c r="A456" s="17">
        <v>9</v>
      </c>
      <c r="B456" s="132">
        <f>G134+B454</f>
        <v>692698.32</v>
      </c>
      <c r="C456" s="133"/>
      <c r="D456" s="130">
        <f>(B456-B454)/100*22</f>
        <v>13360.17759999999</v>
      </c>
      <c r="E456" s="130"/>
      <c r="F456" s="133"/>
      <c r="G456" s="133"/>
      <c r="H456" s="130">
        <f>(B456-B454)/100*0.4</f>
        <v>242.91231999999982</v>
      </c>
      <c r="I456" s="130"/>
      <c r="J456" s="130">
        <f>(B456-B454)/100*2.9</f>
        <v>1761.1143199999985</v>
      </c>
      <c r="K456" s="130"/>
      <c r="L456" s="130"/>
      <c r="M456" s="130">
        <f>(B456-B454)/100*5.1</f>
        <v>3097.1320799999976</v>
      </c>
      <c r="N456" s="130"/>
      <c r="O456" s="130"/>
      <c r="P456" s="137">
        <f>M456+J456+H456+D456</f>
        <v>18461.336319999988</v>
      </c>
      <c r="Q456" s="138"/>
      <c r="R456" s="132">
        <f>R454+P456</f>
        <v>210580.28927999997</v>
      </c>
      <c r="S456" s="133"/>
    </row>
    <row r="457" spans="1:19" ht="12.75">
      <c r="A457" s="13">
        <v>10</v>
      </c>
      <c r="B457" s="130">
        <f>H134+B456</f>
        <v>777784</v>
      </c>
      <c r="C457" s="115"/>
      <c r="D457" s="130">
        <f>(B457-B456)/100*22</f>
        <v>18718.84960000001</v>
      </c>
      <c r="E457" s="130"/>
      <c r="F457" s="115"/>
      <c r="G457" s="115"/>
      <c r="H457" s="130">
        <f>(B457-B456)/100*0.4</f>
        <v>340.3427200000002</v>
      </c>
      <c r="I457" s="130"/>
      <c r="J457" s="130">
        <f>(B457-B456)/100*2.9</f>
        <v>2467.4847200000013</v>
      </c>
      <c r="K457" s="130"/>
      <c r="L457" s="130"/>
      <c r="M457" s="130">
        <f>(B457-B456)/100*5.1</f>
        <v>4339.3696800000025</v>
      </c>
      <c r="N457" s="130"/>
      <c r="O457" s="130"/>
      <c r="P457" s="114">
        <f>M457+J457+H457+D457</f>
        <v>25866.046720000013</v>
      </c>
      <c r="Q457" s="126"/>
      <c r="R457" s="130">
        <f>R456+P457</f>
        <v>236446.33599999998</v>
      </c>
      <c r="S457" s="115"/>
    </row>
    <row r="458" spans="1:19" ht="12.75">
      <c r="A458" s="13">
        <v>11</v>
      </c>
      <c r="B458" s="130">
        <f>I134+B457</f>
        <v>875048.48</v>
      </c>
      <c r="C458" s="115"/>
      <c r="D458" s="130">
        <f>(B458-B457)/100*22</f>
        <v>21398.185599999997</v>
      </c>
      <c r="E458" s="130"/>
      <c r="F458" s="130"/>
      <c r="G458" s="130"/>
      <c r="H458" s="130">
        <f>(B458-B457)/100*0.4</f>
        <v>389.05791999999997</v>
      </c>
      <c r="I458" s="130"/>
      <c r="J458" s="130">
        <f>(B458-B457)/100*2.9</f>
        <v>2820.6699199999994</v>
      </c>
      <c r="K458" s="130"/>
      <c r="L458" s="130"/>
      <c r="M458" s="130">
        <f>(B458-B457)/100*5.1</f>
        <v>4960.488479999999</v>
      </c>
      <c r="N458" s="130"/>
      <c r="O458" s="130"/>
      <c r="P458" s="114">
        <f>M458+J458+H458+D458</f>
        <v>29568.401919999997</v>
      </c>
      <c r="Q458" s="126"/>
      <c r="R458" s="130">
        <f>R457+P458</f>
        <v>266014.73792</v>
      </c>
      <c r="S458" s="115"/>
    </row>
    <row r="459" spans="1:19" ht="13.5" thickBot="1">
      <c r="A459" s="13">
        <v>12</v>
      </c>
      <c r="B459" s="130">
        <f>J134+B458</f>
        <v>989363.28</v>
      </c>
      <c r="C459" s="115"/>
      <c r="D459" s="130">
        <f>(B459-B458)/100*22</f>
        <v>25149.25600000001</v>
      </c>
      <c r="E459" s="130"/>
      <c r="F459" s="130"/>
      <c r="G459" s="130"/>
      <c r="H459" s="130">
        <f>(B459-B458)/100*0.4</f>
        <v>457.2592000000002</v>
      </c>
      <c r="I459" s="130"/>
      <c r="J459" s="130">
        <f>(912000-B458)/100*2.9</f>
        <v>1071.5940800000005</v>
      </c>
      <c r="K459" s="130"/>
      <c r="L459" s="130"/>
      <c r="M459" s="130">
        <f>(B459-B458)/100*5.1</f>
        <v>5830.054800000002</v>
      </c>
      <c r="N459" s="130"/>
      <c r="O459" s="130"/>
      <c r="P459" s="114">
        <f>M459+J459+H459+D459</f>
        <v>32508.16408000001</v>
      </c>
      <c r="Q459" s="126"/>
      <c r="R459" s="130">
        <f>R458+P459</f>
        <v>298522.902</v>
      </c>
      <c r="S459" s="115"/>
    </row>
    <row r="460" spans="1:19" ht="13.5" thickBot="1">
      <c r="A460" s="134" t="s">
        <v>90</v>
      </c>
      <c r="B460" s="135"/>
      <c r="C460" s="135"/>
      <c r="D460" s="135"/>
      <c r="E460" s="135"/>
      <c r="F460" s="135"/>
      <c r="G460" s="135"/>
      <c r="H460" s="135"/>
      <c r="I460" s="135"/>
      <c r="J460" s="135"/>
      <c r="K460" s="135"/>
      <c r="L460" s="135"/>
      <c r="M460" s="135"/>
      <c r="N460" s="135"/>
      <c r="O460" s="135"/>
      <c r="P460" s="135"/>
      <c r="Q460" s="135"/>
      <c r="R460" s="135"/>
      <c r="S460" s="136"/>
    </row>
    <row r="461" spans="1:19" ht="12.75">
      <c r="A461" s="17">
        <v>1</v>
      </c>
      <c r="B461" s="132">
        <f>K134</f>
        <v>114314.8</v>
      </c>
      <c r="C461" s="133"/>
      <c r="D461" s="132">
        <f>B461/100*22</f>
        <v>25149.256</v>
      </c>
      <c r="E461" s="132"/>
      <c r="F461" s="133"/>
      <c r="G461" s="133"/>
      <c r="H461" s="132">
        <f>B461/100*0.4</f>
        <v>457.2592000000001</v>
      </c>
      <c r="I461" s="132"/>
      <c r="J461" s="132">
        <f>B461/100*2.9</f>
        <v>3315.1292000000003</v>
      </c>
      <c r="K461" s="132"/>
      <c r="L461" s="132"/>
      <c r="M461" s="132">
        <f>B461/100*5.1</f>
        <v>5830.0548</v>
      </c>
      <c r="N461" s="132"/>
      <c r="O461" s="132"/>
      <c r="P461" s="137">
        <f aca="true" t="shared" si="192" ref="P461:P468">M461+J461+H461+D461</f>
        <v>34751.6992</v>
      </c>
      <c r="Q461" s="138"/>
      <c r="R461" s="132">
        <f>P461</f>
        <v>34751.6992</v>
      </c>
      <c r="S461" s="133"/>
    </row>
    <row r="462" spans="1:19" ht="12.75">
      <c r="A462" s="13">
        <v>2</v>
      </c>
      <c r="B462" s="130">
        <f>L134+B461</f>
        <v>228629.6</v>
      </c>
      <c r="C462" s="115"/>
      <c r="D462" s="130">
        <f aca="true" t="shared" si="193" ref="D462:D468">(B462-B461)/100*22</f>
        <v>25149.256</v>
      </c>
      <c r="E462" s="130"/>
      <c r="F462" s="115"/>
      <c r="G462" s="115"/>
      <c r="H462" s="130">
        <f aca="true" t="shared" si="194" ref="H462:H468">(B462-B461)/100*0.4</f>
        <v>457.2592000000001</v>
      </c>
      <c r="I462" s="130"/>
      <c r="J462" s="130">
        <f aca="true" t="shared" si="195" ref="J462:J468">(B462-B461)/100*2.9</f>
        <v>3315.1292000000003</v>
      </c>
      <c r="K462" s="130"/>
      <c r="L462" s="130"/>
      <c r="M462" s="130">
        <f aca="true" t="shared" si="196" ref="M462:M468">(B462-B461)/100*5.1</f>
        <v>5830.0548</v>
      </c>
      <c r="N462" s="130"/>
      <c r="O462" s="130"/>
      <c r="P462" s="114">
        <f t="shared" si="192"/>
        <v>34751.6992</v>
      </c>
      <c r="Q462" s="126"/>
      <c r="R462" s="130">
        <f aca="true" t="shared" si="197" ref="R462:R468">R461+P462</f>
        <v>69503.3984</v>
      </c>
      <c r="S462" s="115"/>
    </row>
    <row r="463" spans="1:19" ht="12.75">
      <c r="A463" s="13">
        <v>3</v>
      </c>
      <c r="B463" s="130">
        <f>M134+B462</f>
        <v>325894.08</v>
      </c>
      <c r="C463" s="115"/>
      <c r="D463" s="130">
        <f t="shared" si="193"/>
        <v>21398.185600000004</v>
      </c>
      <c r="E463" s="130"/>
      <c r="F463" s="115"/>
      <c r="G463" s="115"/>
      <c r="H463" s="130">
        <f t="shared" si="194"/>
        <v>389.0579200000001</v>
      </c>
      <c r="I463" s="130"/>
      <c r="J463" s="130">
        <f t="shared" si="195"/>
        <v>2820.6699200000003</v>
      </c>
      <c r="K463" s="130"/>
      <c r="L463" s="130"/>
      <c r="M463" s="130">
        <f t="shared" si="196"/>
        <v>4960.48848</v>
      </c>
      <c r="N463" s="130"/>
      <c r="O463" s="130"/>
      <c r="P463" s="114">
        <f t="shared" si="192"/>
        <v>29568.401920000004</v>
      </c>
      <c r="Q463" s="126"/>
      <c r="R463" s="130">
        <f t="shared" si="197"/>
        <v>99071.80032000001</v>
      </c>
      <c r="S463" s="115"/>
    </row>
    <row r="464" spans="1:19" ht="12.75">
      <c r="A464" s="13">
        <v>4</v>
      </c>
      <c r="B464" s="130">
        <f>N134+B463</f>
        <v>423158.56000000006</v>
      </c>
      <c r="C464" s="115"/>
      <c r="D464" s="130">
        <f t="shared" si="193"/>
        <v>21398.185600000008</v>
      </c>
      <c r="E464" s="130"/>
      <c r="F464" s="115"/>
      <c r="G464" s="115"/>
      <c r="H464" s="130">
        <f t="shared" si="194"/>
        <v>389.0579200000002</v>
      </c>
      <c r="I464" s="130"/>
      <c r="J464" s="130">
        <f t="shared" si="195"/>
        <v>2820.669920000001</v>
      </c>
      <c r="K464" s="130"/>
      <c r="L464" s="130"/>
      <c r="M464" s="130">
        <f t="shared" si="196"/>
        <v>4960.488480000002</v>
      </c>
      <c r="N464" s="130"/>
      <c r="O464" s="130"/>
      <c r="P464" s="114">
        <f t="shared" si="192"/>
        <v>29568.40192000001</v>
      </c>
      <c r="Q464" s="126"/>
      <c r="R464" s="130">
        <f t="shared" si="197"/>
        <v>128640.20224000001</v>
      </c>
      <c r="S464" s="115"/>
    </row>
    <row r="465" spans="1:19" ht="12.75">
      <c r="A465" s="13">
        <v>5</v>
      </c>
      <c r="B465" s="130">
        <f>O134+B464</f>
        <v>464400.56000000006</v>
      </c>
      <c r="C465" s="115"/>
      <c r="D465" s="130">
        <f t="shared" si="193"/>
        <v>9073.24</v>
      </c>
      <c r="E465" s="130"/>
      <c r="F465" s="115"/>
      <c r="G465" s="115"/>
      <c r="H465" s="130">
        <f t="shared" si="194"/>
        <v>164.96800000000002</v>
      </c>
      <c r="I465" s="130"/>
      <c r="J465" s="130">
        <f t="shared" si="195"/>
        <v>1196.018</v>
      </c>
      <c r="K465" s="130"/>
      <c r="L465" s="130"/>
      <c r="M465" s="130">
        <f t="shared" si="196"/>
        <v>2103.342</v>
      </c>
      <c r="N465" s="130"/>
      <c r="O465" s="130"/>
      <c r="P465" s="114">
        <f t="shared" si="192"/>
        <v>12537.568</v>
      </c>
      <c r="Q465" s="126"/>
      <c r="R465" s="130">
        <f t="shared" si="197"/>
        <v>141177.77024</v>
      </c>
      <c r="S465" s="115"/>
    </row>
    <row r="466" spans="1:19" ht="12.75">
      <c r="A466" s="13">
        <v>6</v>
      </c>
      <c r="B466" s="130">
        <f>P134+B465</f>
        <v>515385.60000000003</v>
      </c>
      <c r="C466" s="115"/>
      <c r="D466" s="130">
        <f t="shared" si="193"/>
        <v>11216.708799999997</v>
      </c>
      <c r="E466" s="130"/>
      <c r="F466" s="130"/>
      <c r="G466" s="130"/>
      <c r="H466" s="130">
        <f t="shared" si="194"/>
        <v>203.94015999999993</v>
      </c>
      <c r="I466" s="130"/>
      <c r="J466" s="130">
        <f t="shared" si="195"/>
        <v>1478.5661599999994</v>
      </c>
      <c r="K466" s="130"/>
      <c r="L466" s="130"/>
      <c r="M466" s="130">
        <f t="shared" si="196"/>
        <v>2600.237039999999</v>
      </c>
      <c r="N466" s="130"/>
      <c r="O466" s="130"/>
      <c r="P466" s="114">
        <f t="shared" si="192"/>
        <v>15499.452159999995</v>
      </c>
      <c r="Q466" s="126"/>
      <c r="R466" s="130">
        <f t="shared" si="197"/>
        <v>156677.2224</v>
      </c>
      <c r="S466" s="115"/>
    </row>
    <row r="467" spans="1:19" ht="12.75">
      <c r="A467" s="13">
        <v>7</v>
      </c>
      <c r="B467" s="130">
        <f>Q134+B466</f>
        <v>563934.88</v>
      </c>
      <c r="C467" s="115"/>
      <c r="D467" s="130">
        <f t="shared" si="193"/>
        <v>10680.841599999994</v>
      </c>
      <c r="E467" s="130"/>
      <c r="F467" s="130"/>
      <c r="G467" s="130"/>
      <c r="H467" s="130">
        <f t="shared" si="194"/>
        <v>194.1971199999999</v>
      </c>
      <c r="I467" s="130"/>
      <c r="J467" s="130">
        <f t="shared" si="195"/>
        <v>1407.929119999999</v>
      </c>
      <c r="K467" s="130"/>
      <c r="L467" s="130"/>
      <c r="M467" s="130">
        <f t="shared" si="196"/>
        <v>2476.0132799999983</v>
      </c>
      <c r="N467" s="130"/>
      <c r="O467" s="130"/>
      <c r="P467" s="114">
        <f t="shared" si="192"/>
        <v>14758.981119999991</v>
      </c>
      <c r="Q467" s="126"/>
      <c r="R467" s="130">
        <f t="shared" si="197"/>
        <v>171436.20351999998</v>
      </c>
      <c r="S467" s="115"/>
    </row>
    <row r="468" spans="1:19" ht="13.5" thickBot="1">
      <c r="A468" s="18">
        <v>8</v>
      </c>
      <c r="B468" s="144">
        <f>R134+B467</f>
        <v>631970.24</v>
      </c>
      <c r="C468" s="145"/>
      <c r="D468" s="130">
        <f t="shared" si="193"/>
        <v>14967.779199999997</v>
      </c>
      <c r="E468" s="130"/>
      <c r="F468" s="144"/>
      <c r="G468" s="144"/>
      <c r="H468" s="130">
        <f t="shared" si="194"/>
        <v>272.14144</v>
      </c>
      <c r="I468" s="130"/>
      <c r="J468" s="130">
        <f t="shared" si="195"/>
        <v>1973.0254399999997</v>
      </c>
      <c r="K468" s="130"/>
      <c r="L468" s="130"/>
      <c r="M468" s="130">
        <f t="shared" si="196"/>
        <v>3469.8033599999994</v>
      </c>
      <c r="N468" s="130"/>
      <c r="O468" s="130"/>
      <c r="P468" s="142">
        <f t="shared" si="192"/>
        <v>20682.749439999996</v>
      </c>
      <c r="Q468" s="143"/>
      <c r="R468" s="144">
        <f t="shared" si="197"/>
        <v>192118.95295999997</v>
      </c>
      <c r="S468" s="145"/>
    </row>
    <row r="469" spans="1:19" ht="13.5" thickBot="1">
      <c r="A469" s="134" t="s">
        <v>97</v>
      </c>
      <c r="B469" s="135"/>
      <c r="C469" s="135"/>
      <c r="D469" s="135"/>
      <c r="E469" s="135"/>
      <c r="F469" s="135"/>
      <c r="G469" s="135"/>
      <c r="H469" s="135"/>
      <c r="I469" s="135"/>
      <c r="J469" s="135"/>
      <c r="K469" s="135"/>
      <c r="L469" s="135"/>
      <c r="M469" s="135"/>
      <c r="N469" s="135"/>
      <c r="O469" s="135"/>
      <c r="P469" s="135"/>
      <c r="Q469" s="135"/>
      <c r="R469" s="135"/>
      <c r="S469" s="136"/>
    </row>
    <row r="470" spans="1:19" ht="12.75">
      <c r="A470" s="17">
        <v>9</v>
      </c>
      <c r="B470" s="132">
        <f>G142+B468</f>
        <v>692698.32</v>
      </c>
      <c r="C470" s="133"/>
      <c r="D470" s="130">
        <f>(B470-B468)/100*22</f>
        <v>13360.17759999999</v>
      </c>
      <c r="E470" s="130"/>
      <c r="F470" s="133"/>
      <c r="G470" s="133"/>
      <c r="H470" s="130">
        <f>(B470-B468)/100*0.4</f>
        <v>242.91231999999982</v>
      </c>
      <c r="I470" s="130"/>
      <c r="J470" s="130">
        <f>(B470-B468)/100*2.9</f>
        <v>1761.1143199999985</v>
      </c>
      <c r="K470" s="130"/>
      <c r="L470" s="130"/>
      <c r="M470" s="130">
        <f>(B470-B468)/100*5.1</f>
        <v>3097.1320799999976</v>
      </c>
      <c r="N470" s="130"/>
      <c r="O470" s="130"/>
      <c r="P470" s="137">
        <f>M470+J470+H470+D470</f>
        <v>18461.336319999988</v>
      </c>
      <c r="Q470" s="138"/>
      <c r="R470" s="132">
        <f>R468+P470</f>
        <v>210580.28927999997</v>
      </c>
      <c r="S470" s="133"/>
    </row>
    <row r="471" spans="1:19" ht="12.75">
      <c r="A471" s="13">
        <v>10</v>
      </c>
      <c r="B471" s="130">
        <f>H142+B470</f>
        <v>777784</v>
      </c>
      <c r="C471" s="115"/>
      <c r="D471" s="130">
        <f>(B471-B470)/100*22</f>
        <v>18718.84960000001</v>
      </c>
      <c r="E471" s="130"/>
      <c r="F471" s="115"/>
      <c r="G471" s="115"/>
      <c r="H471" s="130">
        <f>(B471-B470)/100*0.4</f>
        <v>340.3427200000002</v>
      </c>
      <c r="I471" s="130"/>
      <c r="J471" s="130">
        <f>(B471-B470)/100*2.9</f>
        <v>2467.4847200000013</v>
      </c>
      <c r="K471" s="130"/>
      <c r="L471" s="130"/>
      <c r="M471" s="130">
        <f>(B471-B470)/100*5.1</f>
        <v>4339.3696800000025</v>
      </c>
      <c r="N471" s="130"/>
      <c r="O471" s="130"/>
      <c r="P471" s="114">
        <f>M471+J471+H471+D471</f>
        <v>25866.046720000013</v>
      </c>
      <c r="Q471" s="126"/>
      <c r="R471" s="130">
        <f>R470+P471</f>
        <v>236446.33599999998</v>
      </c>
      <c r="S471" s="115"/>
    </row>
    <row r="472" spans="1:19" ht="12.75">
      <c r="A472" s="13">
        <v>11</v>
      </c>
      <c r="B472" s="130">
        <f>I142+B471</f>
        <v>877484.24</v>
      </c>
      <c r="C472" s="115"/>
      <c r="D472" s="130">
        <f>(B472-B471)/100*22</f>
        <v>21934.052799999998</v>
      </c>
      <c r="E472" s="130"/>
      <c r="F472" s="130"/>
      <c r="G472" s="130"/>
      <c r="H472" s="130">
        <f>(B472-B471)/100*0.4</f>
        <v>398.80096</v>
      </c>
      <c r="I472" s="130"/>
      <c r="J472" s="130">
        <f>(B472-B471)/100*2.9</f>
        <v>2891.3069599999994</v>
      </c>
      <c r="K472" s="130"/>
      <c r="L472" s="130"/>
      <c r="M472" s="130">
        <f>(B472-B471)/100*5.1</f>
        <v>5084.712239999999</v>
      </c>
      <c r="N472" s="130"/>
      <c r="O472" s="130"/>
      <c r="P472" s="114">
        <f>M472+J472+H472+D472</f>
        <v>30308.872959999997</v>
      </c>
      <c r="Q472" s="126"/>
      <c r="R472" s="130">
        <f>R471+P472</f>
        <v>266755.20895999996</v>
      </c>
      <c r="S472" s="115"/>
    </row>
    <row r="473" spans="1:19" ht="13.5" thickBot="1">
      <c r="A473" s="13">
        <v>12</v>
      </c>
      <c r="B473" s="130">
        <f>J142+B472</f>
        <v>991799.04</v>
      </c>
      <c r="C473" s="115"/>
      <c r="D473" s="130">
        <f>(B473-B472)/100*22</f>
        <v>25149.25600000001</v>
      </c>
      <c r="E473" s="130"/>
      <c r="F473" s="130"/>
      <c r="G473" s="130"/>
      <c r="H473" s="130">
        <f>(B473-B472)/100*0.4</f>
        <v>457.2592000000002</v>
      </c>
      <c r="I473" s="130"/>
      <c r="J473" s="130">
        <f>(912000-B472)/100*2.9</f>
        <v>1000.9570400000003</v>
      </c>
      <c r="K473" s="130"/>
      <c r="L473" s="130"/>
      <c r="M473" s="130">
        <f>(B473-B472)/100*5.1</f>
        <v>5830.054800000002</v>
      </c>
      <c r="N473" s="130"/>
      <c r="O473" s="130"/>
      <c r="P473" s="114">
        <f>M473+J473+H473+D473</f>
        <v>32437.52704000001</v>
      </c>
      <c r="Q473" s="126"/>
      <c r="R473" s="130">
        <f>R472+P473</f>
        <v>299192.736</v>
      </c>
      <c r="S473" s="115"/>
    </row>
    <row r="474" spans="1:19" ht="13.5" thickBot="1">
      <c r="A474" s="134" t="s">
        <v>90</v>
      </c>
      <c r="B474" s="135"/>
      <c r="C474" s="135"/>
      <c r="D474" s="135"/>
      <c r="E474" s="135"/>
      <c r="F474" s="135"/>
      <c r="G474" s="135"/>
      <c r="H474" s="135"/>
      <c r="I474" s="135"/>
      <c r="J474" s="135"/>
      <c r="K474" s="135"/>
      <c r="L474" s="135"/>
      <c r="M474" s="135"/>
      <c r="N474" s="135"/>
      <c r="O474" s="135"/>
      <c r="P474" s="135"/>
      <c r="Q474" s="135"/>
      <c r="R474" s="135"/>
      <c r="S474" s="136"/>
    </row>
    <row r="475" spans="1:19" ht="12.75">
      <c r="A475" s="17">
        <v>1</v>
      </c>
      <c r="B475" s="132">
        <f>K142</f>
        <v>114314.8</v>
      </c>
      <c r="C475" s="133"/>
      <c r="D475" s="132">
        <f>B475/100*22</f>
        <v>25149.256</v>
      </c>
      <c r="E475" s="132"/>
      <c r="F475" s="133"/>
      <c r="G475" s="133"/>
      <c r="H475" s="132">
        <f>B475/100*0.4</f>
        <v>457.2592000000001</v>
      </c>
      <c r="I475" s="132"/>
      <c r="J475" s="132">
        <f>B475/100*2.9</f>
        <v>3315.1292000000003</v>
      </c>
      <c r="K475" s="132"/>
      <c r="L475" s="132"/>
      <c r="M475" s="132">
        <f>B475/100*5.1</f>
        <v>5830.0548</v>
      </c>
      <c r="N475" s="132"/>
      <c r="O475" s="132"/>
      <c r="P475" s="137">
        <f aca="true" t="shared" si="198" ref="P475:P482">M475+J475+H475+D475</f>
        <v>34751.6992</v>
      </c>
      <c r="Q475" s="138"/>
      <c r="R475" s="132">
        <f>P475</f>
        <v>34751.6992</v>
      </c>
      <c r="S475" s="133"/>
    </row>
    <row r="476" spans="1:19" ht="12.75">
      <c r="A476" s="13">
        <v>2</v>
      </c>
      <c r="B476" s="130">
        <f>L142+B475</f>
        <v>228629.6</v>
      </c>
      <c r="C476" s="115"/>
      <c r="D476" s="130">
        <f aca="true" t="shared" si="199" ref="D476:D482">(B476-B475)/100*22</f>
        <v>25149.256</v>
      </c>
      <c r="E476" s="130"/>
      <c r="F476" s="115"/>
      <c r="G476" s="115"/>
      <c r="H476" s="130">
        <f aca="true" t="shared" si="200" ref="H476:H482">(B476-B475)/100*0.4</f>
        <v>457.2592000000001</v>
      </c>
      <c r="I476" s="130"/>
      <c r="J476" s="130">
        <f aca="true" t="shared" si="201" ref="J476:J482">(B476-B475)/100*2.9</f>
        <v>3315.1292000000003</v>
      </c>
      <c r="K476" s="130"/>
      <c r="L476" s="130"/>
      <c r="M476" s="130">
        <f aca="true" t="shared" si="202" ref="M476:M482">(B476-B475)/100*5.1</f>
        <v>5830.0548</v>
      </c>
      <c r="N476" s="130"/>
      <c r="O476" s="130"/>
      <c r="P476" s="114">
        <f t="shared" si="198"/>
        <v>34751.6992</v>
      </c>
      <c r="Q476" s="126"/>
      <c r="R476" s="130">
        <f aca="true" t="shared" si="203" ref="R476:R482">R475+P476</f>
        <v>69503.3984</v>
      </c>
      <c r="S476" s="115"/>
    </row>
    <row r="477" spans="1:19" ht="12.75">
      <c r="A477" s="13">
        <v>3</v>
      </c>
      <c r="B477" s="130">
        <f>M142+B476</f>
        <v>323458.32</v>
      </c>
      <c r="C477" s="115"/>
      <c r="D477" s="130">
        <f t="shared" si="199"/>
        <v>20862.3184</v>
      </c>
      <c r="E477" s="130"/>
      <c r="F477" s="115"/>
      <c r="G477" s="115"/>
      <c r="H477" s="130">
        <f t="shared" si="200"/>
        <v>379.31488</v>
      </c>
      <c r="I477" s="130"/>
      <c r="J477" s="130">
        <f t="shared" si="201"/>
        <v>2750.0328799999997</v>
      </c>
      <c r="K477" s="130"/>
      <c r="L477" s="130"/>
      <c r="M477" s="130">
        <f t="shared" si="202"/>
        <v>4836.264719999999</v>
      </c>
      <c r="N477" s="130"/>
      <c r="O477" s="130"/>
      <c r="P477" s="114">
        <f t="shared" si="198"/>
        <v>28827.93088</v>
      </c>
      <c r="Q477" s="126"/>
      <c r="R477" s="130">
        <f t="shared" si="203"/>
        <v>98331.32928</v>
      </c>
      <c r="S477" s="115"/>
    </row>
    <row r="478" spans="1:19" ht="12.75">
      <c r="A478" s="13">
        <v>4</v>
      </c>
      <c r="B478" s="130">
        <f>N142+B477</f>
        <v>420722.80000000005</v>
      </c>
      <c r="C478" s="115"/>
      <c r="D478" s="130">
        <f t="shared" si="199"/>
        <v>21398.185600000008</v>
      </c>
      <c r="E478" s="130"/>
      <c r="F478" s="115"/>
      <c r="G478" s="115"/>
      <c r="H478" s="130">
        <f t="shared" si="200"/>
        <v>389.0579200000002</v>
      </c>
      <c r="I478" s="130"/>
      <c r="J478" s="130">
        <f t="shared" si="201"/>
        <v>2820.669920000001</v>
      </c>
      <c r="K478" s="130"/>
      <c r="L478" s="130"/>
      <c r="M478" s="130">
        <f t="shared" si="202"/>
        <v>4960.488480000002</v>
      </c>
      <c r="N478" s="130"/>
      <c r="O478" s="130"/>
      <c r="P478" s="114">
        <f t="shared" si="198"/>
        <v>29568.40192000001</v>
      </c>
      <c r="Q478" s="126"/>
      <c r="R478" s="130">
        <f t="shared" si="203"/>
        <v>127899.73120000001</v>
      </c>
      <c r="S478" s="115"/>
    </row>
    <row r="479" spans="1:19" ht="12.75">
      <c r="A479" s="13">
        <v>5</v>
      </c>
      <c r="B479" s="130">
        <f>O142+B478</f>
        <v>461964.80000000005</v>
      </c>
      <c r="C479" s="115"/>
      <c r="D479" s="130">
        <f t="shared" si="199"/>
        <v>9073.24</v>
      </c>
      <c r="E479" s="130"/>
      <c r="F479" s="115"/>
      <c r="G479" s="115"/>
      <c r="H479" s="130">
        <f t="shared" si="200"/>
        <v>164.96800000000002</v>
      </c>
      <c r="I479" s="130"/>
      <c r="J479" s="130">
        <f t="shared" si="201"/>
        <v>1196.018</v>
      </c>
      <c r="K479" s="130"/>
      <c r="L479" s="130"/>
      <c r="M479" s="130">
        <f t="shared" si="202"/>
        <v>2103.342</v>
      </c>
      <c r="N479" s="130"/>
      <c r="O479" s="130"/>
      <c r="P479" s="114">
        <f t="shared" si="198"/>
        <v>12537.568</v>
      </c>
      <c r="Q479" s="126"/>
      <c r="R479" s="130">
        <f t="shared" si="203"/>
        <v>140437.2992</v>
      </c>
      <c r="S479" s="115"/>
    </row>
    <row r="480" spans="1:19" ht="12.75">
      <c r="A480" s="13">
        <v>6</v>
      </c>
      <c r="B480" s="130">
        <f>P142+B479</f>
        <v>512949.84</v>
      </c>
      <c r="C480" s="115"/>
      <c r="D480" s="130">
        <f t="shared" si="199"/>
        <v>11216.708799999997</v>
      </c>
      <c r="E480" s="130"/>
      <c r="F480" s="130"/>
      <c r="G480" s="130"/>
      <c r="H480" s="130">
        <f t="shared" si="200"/>
        <v>203.94015999999993</v>
      </c>
      <c r="I480" s="130"/>
      <c r="J480" s="130">
        <f t="shared" si="201"/>
        <v>1478.5661599999994</v>
      </c>
      <c r="K480" s="130"/>
      <c r="L480" s="130"/>
      <c r="M480" s="130">
        <f t="shared" si="202"/>
        <v>2600.237039999999</v>
      </c>
      <c r="N480" s="130"/>
      <c r="O480" s="130"/>
      <c r="P480" s="114">
        <f t="shared" si="198"/>
        <v>15499.452159999995</v>
      </c>
      <c r="Q480" s="126"/>
      <c r="R480" s="130">
        <f t="shared" si="203"/>
        <v>155936.75136</v>
      </c>
      <c r="S480" s="115"/>
    </row>
    <row r="481" spans="1:19" ht="12.75">
      <c r="A481" s="13">
        <v>7</v>
      </c>
      <c r="B481" s="130">
        <f>Q142+B480</f>
        <v>563934.88</v>
      </c>
      <c r="C481" s="115"/>
      <c r="D481" s="130">
        <f t="shared" si="199"/>
        <v>11216.708799999997</v>
      </c>
      <c r="E481" s="130"/>
      <c r="F481" s="130"/>
      <c r="G481" s="130"/>
      <c r="H481" s="130">
        <f t="shared" si="200"/>
        <v>203.94015999999993</v>
      </c>
      <c r="I481" s="130"/>
      <c r="J481" s="130">
        <f t="shared" si="201"/>
        <v>1478.5661599999994</v>
      </c>
      <c r="K481" s="130"/>
      <c r="L481" s="130"/>
      <c r="M481" s="130">
        <f t="shared" si="202"/>
        <v>2600.237039999999</v>
      </c>
      <c r="N481" s="130"/>
      <c r="O481" s="130"/>
      <c r="P481" s="114">
        <f t="shared" si="198"/>
        <v>15499.452159999995</v>
      </c>
      <c r="Q481" s="126"/>
      <c r="R481" s="130">
        <f t="shared" si="203"/>
        <v>171436.20351999998</v>
      </c>
      <c r="S481" s="115"/>
    </row>
    <row r="482" spans="1:19" ht="13.5" thickBot="1">
      <c r="A482" s="18">
        <v>8</v>
      </c>
      <c r="B482" s="144">
        <f>R142+B481</f>
        <v>629534.48</v>
      </c>
      <c r="C482" s="145"/>
      <c r="D482" s="130">
        <f t="shared" si="199"/>
        <v>14431.911999999995</v>
      </c>
      <c r="E482" s="130"/>
      <c r="F482" s="144"/>
      <c r="G482" s="144"/>
      <c r="H482" s="130">
        <f t="shared" si="200"/>
        <v>262.3983999999999</v>
      </c>
      <c r="I482" s="130"/>
      <c r="J482" s="130">
        <f t="shared" si="201"/>
        <v>1902.3883999999991</v>
      </c>
      <c r="K482" s="130"/>
      <c r="L482" s="130"/>
      <c r="M482" s="130">
        <f t="shared" si="202"/>
        <v>3345.5795999999987</v>
      </c>
      <c r="N482" s="130"/>
      <c r="O482" s="130"/>
      <c r="P482" s="142">
        <f t="shared" si="198"/>
        <v>19942.278399999992</v>
      </c>
      <c r="Q482" s="143"/>
      <c r="R482" s="144">
        <f t="shared" si="203"/>
        <v>191378.48191999996</v>
      </c>
      <c r="S482" s="145"/>
    </row>
    <row r="483" spans="1:19" ht="13.5" thickBot="1">
      <c r="A483" s="134" t="s">
        <v>98</v>
      </c>
      <c r="B483" s="135"/>
      <c r="C483" s="135"/>
      <c r="D483" s="135"/>
      <c r="E483" s="135"/>
      <c r="F483" s="135"/>
      <c r="G483" s="135"/>
      <c r="H483" s="135"/>
      <c r="I483" s="135"/>
      <c r="J483" s="135"/>
      <c r="K483" s="135"/>
      <c r="L483" s="135"/>
      <c r="M483" s="135"/>
      <c r="N483" s="135"/>
      <c r="O483" s="135"/>
      <c r="P483" s="135"/>
      <c r="Q483" s="135"/>
      <c r="R483" s="135"/>
      <c r="S483" s="136"/>
    </row>
    <row r="484" spans="1:19" ht="12.75">
      <c r="A484" s="17">
        <v>9</v>
      </c>
      <c r="B484" s="132">
        <f>G150+B482</f>
        <v>690262.5599999999</v>
      </c>
      <c r="C484" s="133"/>
      <c r="D484" s="130">
        <f>(B484-B482)/100*22</f>
        <v>13360.17759999999</v>
      </c>
      <c r="E484" s="130"/>
      <c r="F484" s="133"/>
      <c r="G484" s="133"/>
      <c r="H484" s="130">
        <f>(B484-B482)/100*0.4</f>
        <v>242.91231999999982</v>
      </c>
      <c r="I484" s="130"/>
      <c r="J484" s="130">
        <f>(B484-B482)/100*2.9</f>
        <v>1761.1143199999985</v>
      </c>
      <c r="K484" s="130"/>
      <c r="L484" s="130"/>
      <c r="M484" s="130">
        <f>(B484-B482)/100*5.1</f>
        <v>3097.1320799999976</v>
      </c>
      <c r="N484" s="130"/>
      <c r="O484" s="130"/>
      <c r="P484" s="137">
        <f>M484+J484+H484+D484</f>
        <v>18461.336319999988</v>
      </c>
      <c r="Q484" s="138"/>
      <c r="R484" s="132">
        <f>R482+P484</f>
        <v>209839.81823999994</v>
      </c>
      <c r="S484" s="133"/>
    </row>
    <row r="485" spans="1:19" ht="12.75">
      <c r="A485" s="13">
        <v>10</v>
      </c>
      <c r="B485" s="130">
        <f>H150+B484</f>
        <v>775348.24</v>
      </c>
      <c r="C485" s="115"/>
      <c r="D485" s="130">
        <f>(B485-B484)/100*22</f>
        <v>18718.84960000001</v>
      </c>
      <c r="E485" s="130"/>
      <c r="F485" s="115"/>
      <c r="G485" s="115"/>
      <c r="H485" s="130">
        <f>(B485-B484)/100*0.4</f>
        <v>340.3427200000002</v>
      </c>
      <c r="I485" s="130"/>
      <c r="J485" s="130">
        <f>(B485-B484)/100*2.9</f>
        <v>2467.4847200000013</v>
      </c>
      <c r="K485" s="130"/>
      <c r="L485" s="130"/>
      <c r="M485" s="130">
        <f>(B485-B484)/100*5.1</f>
        <v>4339.3696800000025</v>
      </c>
      <c r="N485" s="130"/>
      <c r="O485" s="130"/>
      <c r="P485" s="114">
        <f>M485+J485+H485+D485</f>
        <v>25866.046720000013</v>
      </c>
      <c r="Q485" s="126"/>
      <c r="R485" s="130">
        <f>R484+P485</f>
        <v>235705.86495999995</v>
      </c>
      <c r="S485" s="115"/>
    </row>
    <row r="486" spans="1:19" ht="12.75">
      <c r="A486" s="13">
        <v>11</v>
      </c>
      <c r="B486" s="130">
        <f>I150+B485</f>
        <v>875048.48</v>
      </c>
      <c r="C486" s="115"/>
      <c r="D486" s="130">
        <f>(B486-B485)/100*22</f>
        <v>21934.052799999998</v>
      </c>
      <c r="E486" s="130"/>
      <c r="F486" s="130"/>
      <c r="G486" s="130"/>
      <c r="H486" s="130">
        <f>(B486-B485)/100*0.4</f>
        <v>398.80096</v>
      </c>
      <c r="I486" s="130"/>
      <c r="J486" s="130">
        <f>(B486-B485)/100*2.9</f>
        <v>2891.3069599999994</v>
      </c>
      <c r="K486" s="130"/>
      <c r="L486" s="130"/>
      <c r="M486" s="130">
        <f>(B486-B485)/100*5.1</f>
        <v>5084.712239999999</v>
      </c>
      <c r="N486" s="130"/>
      <c r="O486" s="130"/>
      <c r="P486" s="114">
        <f>M486+J486+H486+D486</f>
        <v>30308.872959999997</v>
      </c>
      <c r="Q486" s="126"/>
      <c r="R486" s="130">
        <f>R485+P486</f>
        <v>266014.7379199999</v>
      </c>
      <c r="S486" s="115"/>
    </row>
    <row r="487" spans="1:19" ht="13.5" thickBot="1">
      <c r="A487" s="13">
        <v>12</v>
      </c>
      <c r="B487" s="130">
        <f>J150+B486</f>
        <v>989363.28</v>
      </c>
      <c r="C487" s="115"/>
      <c r="D487" s="130">
        <f>(B487-B486)/100*22</f>
        <v>25149.25600000001</v>
      </c>
      <c r="E487" s="130"/>
      <c r="F487" s="130"/>
      <c r="G487" s="130"/>
      <c r="H487" s="130">
        <f>(B487-B486)/100*0.4</f>
        <v>457.2592000000002</v>
      </c>
      <c r="I487" s="130"/>
      <c r="J487" s="130">
        <f>(912000-B486)/100*2.9</f>
        <v>1071.5940800000005</v>
      </c>
      <c r="K487" s="130"/>
      <c r="L487" s="130"/>
      <c r="M487" s="130">
        <f>(B487-B486)/100*5.1</f>
        <v>5830.054800000002</v>
      </c>
      <c r="N487" s="130"/>
      <c r="O487" s="130"/>
      <c r="P487" s="114">
        <f>M487+J487+H487+D487</f>
        <v>32508.16408000001</v>
      </c>
      <c r="Q487" s="126"/>
      <c r="R487" s="130">
        <f>R486+P487</f>
        <v>298522.90199999994</v>
      </c>
      <c r="S487" s="115"/>
    </row>
    <row r="488" spans="1:19" ht="13.5" thickBot="1">
      <c r="A488" s="134" t="s">
        <v>90</v>
      </c>
      <c r="B488" s="135"/>
      <c r="C488" s="135"/>
      <c r="D488" s="135"/>
      <c r="E488" s="135"/>
      <c r="F488" s="135"/>
      <c r="G488" s="135"/>
      <c r="H488" s="135"/>
      <c r="I488" s="135"/>
      <c r="J488" s="135"/>
      <c r="K488" s="135"/>
      <c r="L488" s="135"/>
      <c r="M488" s="135"/>
      <c r="N488" s="135"/>
      <c r="O488" s="135"/>
      <c r="P488" s="135"/>
      <c r="Q488" s="135"/>
      <c r="R488" s="135"/>
      <c r="S488" s="136"/>
    </row>
    <row r="489" spans="1:19" ht="12.75">
      <c r="A489" s="17">
        <v>1</v>
      </c>
      <c r="B489" s="132">
        <f>K150</f>
        <v>114314.8</v>
      </c>
      <c r="C489" s="133"/>
      <c r="D489" s="132">
        <f>B489/100*22</f>
        <v>25149.256</v>
      </c>
      <c r="E489" s="132"/>
      <c r="F489" s="133"/>
      <c r="G489" s="133"/>
      <c r="H489" s="132">
        <f>B489/100*0.4</f>
        <v>457.2592000000001</v>
      </c>
      <c r="I489" s="132"/>
      <c r="J489" s="132">
        <f>B489/100*2.9</f>
        <v>3315.1292000000003</v>
      </c>
      <c r="K489" s="132"/>
      <c r="L489" s="132"/>
      <c r="M489" s="132">
        <f>B489/100*5.1</f>
        <v>5830.0548</v>
      </c>
      <c r="N489" s="132"/>
      <c r="O489" s="132"/>
      <c r="P489" s="137">
        <f aca="true" t="shared" si="204" ref="P489:P496">M489+J489+H489+D489</f>
        <v>34751.6992</v>
      </c>
      <c r="Q489" s="138"/>
      <c r="R489" s="132">
        <f>P489</f>
        <v>34751.6992</v>
      </c>
      <c r="S489" s="133"/>
    </row>
    <row r="490" spans="1:19" ht="12.75">
      <c r="A490" s="13">
        <v>2</v>
      </c>
      <c r="B490" s="130">
        <f>L150+B489</f>
        <v>228629.6</v>
      </c>
      <c r="C490" s="115"/>
      <c r="D490" s="130">
        <f aca="true" t="shared" si="205" ref="D490:D496">(B490-B489)/100*22</f>
        <v>25149.256</v>
      </c>
      <c r="E490" s="130"/>
      <c r="F490" s="115"/>
      <c r="G490" s="115"/>
      <c r="H490" s="130">
        <f aca="true" t="shared" si="206" ref="H490:H496">(B490-B489)/100*0.4</f>
        <v>457.2592000000001</v>
      </c>
      <c r="I490" s="130"/>
      <c r="J490" s="130">
        <f aca="true" t="shared" si="207" ref="J490:J496">(B490-B489)/100*2.9</f>
        <v>3315.1292000000003</v>
      </c>
      <c r="K490" s="130"/>
      <c r="L490" s="130"/>
      <c r="M490" s="130">
        <f aca="true" t="shared" si="208" ref="M490:M496">(B490-B489)/100*5.1</f>
        <v>5830.0548</v>
      </c>
      <c r="N490" s="130"/>
      <c r="O490" s="130"/>
      <c r="P490" s="114">
        <f t="shared" si="204"/>
        <v>34751.6992</v>
      </c>
      <c r="Q490" s="126"/>
      <c r="R490" s="130">
        <f aca="true" t="shared" si="209" ref="R490:R496">R489+P490</f>
        <v>69503.3984</v>
      </c>
      <c r="S490" s="115"/>
    </row>
    <row r="491" spans="1:19" ht="12.75">
      <c r="A491" s="13">
        <v>3</v>
      </c>
      <c r="B491" s="130">
        <f>M150+B490</f>
        <v>323458.32</v>
      </c>
      <c r="C491" s="115"/>
      <c r="D491" s="130">
        <f t="shared" si="205"/>
        <v>20862.3184</v>
      </c>
      <c r="E491" s="130"/>
      <c r="F491" s="115"/>
      <c r="G491" s="115"/>
      <c r="H491" s="130">
        <f t="shared" si="206"/>
        <v>379.31488</v>
      </c>
      <c r="I491" s="130"/>
      <c r="J491" s="130">
        <f t="shared" si="207"/>
        <v>2750.0328799999997</v>
      </c>
      <c r="K491" s="130"/>
      <c r="L491" s="130"/>
      <c r="M491" s="130">
        <f t="shared" si="208"/>
        <v>4836.264719999999</v>
      </c>
      <c r="N491" s="130"/>
      <c r="O491" s="130"/>
      <c r="P491" s="114">
        <f t="shared" si="204"/>
        <v>28827.93088</v>
      </c>
      <c r="Q491" s="126"/>
      <c r="R491" s="130">
        <f t="shared" si="209"/>
        <v>98331.32928</v>
      </c>
      <c r="S491" s="115"/>
    </row>
    <row r="492" spans="1:19" ht="12.75">
      <c r="A492" s="13">
        <v>4</v>
      </c>
      <c r="B492" s="130">
        <f>N150+B491</f>
        <v>420722.80000000005</v>
      </c>
      <c r="C492" s="115"/>
      <c r="D492" s="130">
        <f t="shared" si="205"/>
        <v>21398.185600000008</v>
      </c>
      <c r="E492" s="130"/>
      <c r="F492" s="115"/>
      <c r="G492" s="115"/>
      <c r="H492" s="130">
        <f t="shared" si="206"/>
        <v>389.0579200000002</v>
      </c>
      <c r="I492" s="130"/>
      <c r="J492" s="130">
        <f t="shared" si="207"/>
        <v>2820.669920000001</v>
      </c>
      <c r="K492" s="130"/>
      <c r="L492" s="130"/>
      <c r="M492" s="130">
        <f t="shared" si="208"/>
        <v>4960.488480000002</v>
      </c>
      <c r="N492" s="130"/>
      <c r="O492" s="130"/>
      <c r="P492" s="114">
        <f t="shared" si="204"/>
        <v>29568.40192000001</v>
      </c>
      <c r="Q492" s="126"/>
      <c r="R492" s="130">
        <f t="shared" si="209"/>
        <v>127899.73120000001</v>
      </c>
      <c r="S492" s="115"/>
    </row>
    <row r="493" spans="1:19" ht="12.75">
      <c r="A493" s="13">
        <v>5</v>
      </c>
      <c r="B493" s="130">
        <f>O150+B492</f>
        <v>461964.80000000005</v>
      </c>
      <c r="C493" s="115"/>
      <c r="D493" s="130">
        <f t="shared" si="205"/>
        <v>9073.24</v>
      </c>
      <c r="E493" s="130"/>
      <c r="F493" s="115"/>
      <c r="G493" s="115"/>
      <c r="H493" s="130">
        <f t="shared" si="206"/>
        <v>164.96800000000002</v>
      </c>
      <c r="I493" s="130"/>
      <c r="J493" s="130">
        <f t="shared" si="207"/>
        <v>1196.018</v>
      </c>
      <c r="K493" s="130"/>
      <c r="L493" s="130"/>
      <c r="M493" s="130">
        <f t="shared" si="208"/>
        <v>2103.342</v>
      </c>
      <c r="N493" s="130"/>
      <c r="O493" s="130"/>
      <c r="P493" s="114">
        <f t="shared" si="204"/>
        <v>12537.568</v>
      </c>
      <c r="Q493" s="126"/>
      <c r="R493" s="130">
        <f t="shared" si="209"/>
        <v>140437.2992</v>
      </c>
      <c r="S493" s="115"/>
    </row>
    <row r="494" spans="1:19" ht="12.75">
      <c r="A494" s="13">
        <v>6</v>
      </c>
      <c r="B494" s="130">
        <f>P150+B493</f>
        <v>512949.84</v>
      </c>
      <c r="C494" s="115"/>
      <c r="D494" s="130">
        <f t="shared" si="205"/>
        <v>11216.708799999997</v>
      </c>
      <c r="E494" s="130"/>
      <c r="F494" s="130"/>
      <c r="G494" s="130"/>
      <c r="H494" s="130">
        <f t="shared" si="206"/>
        <v>203.94015999999993</v>
      </c>
      <c r="I494" s="130"/>
      <c r="J494" s="130">
        <f t="shared" si="207"/>
        <v>1478.5661599999994</v>
      </c>
      <c r="K494" s="130"/>
      <c r="L494" s="130"/>
      <c r="M494" s="130">
        <f t="shared" si="208"/>
        <v>2600.237039999999</v>
      </c>
      <c r="N494" s="130"/>
      <c r="O494" s="130"/>
      <c r="P494" s="114">
        <f t="shared" si="204"/>
        <v>15499.452159999995</v>
      </c>
      <c r="Q494" s="126"/>
      <c r="R494" s="130">
        <f t="shared" si="209"/>
        <v>155936.75136</v>
      </c>
      <c r="S494" s="115"/>
    </row>
    <row r="495" spans="1:19" ht="12.75">
      <c r="A495" s="13">
        <v>7</v>
      </c>
      <c r="B495" s="130">
        <f>Q150+B494</f>
        <v>563934.88</v>
      </c>
      <c r="C495" s="115"/>
      <c r="D495" s="130">
        <f t="shared" si="205"/>
        <v>11216.708799999997</v>
      </c>
      <c r="E495" s="130"/>
      <c r="F495" s="130"/>
      <c r="G495" s="130"/>
      <c r="H495" s="130">
        <f t="shared" si="206"/>
        <v>203.94015999999993</v>
      </c>
      <c r="I495" s="130"/>
      <c r="J495" s="130">
        <f t="shared" si="207"/>
        <v>1478.5661599999994</v>
      </c>
      <c r="K495" s="130"/>
      <c r="L495" s="130"/>
      <c r="M495" s="130">
        <f t="shared" si="208"/>
        <v>2600.237039999999</v>
      </c>
      <c r="N495" s="130"/>
      <c r="O495" s="130"/>
      <c r="P495" s="114">
        <f t="shared" si="204"/>
        <v>15499.452159999995</v>
      </c>
      <c r="Q495" s="126"/>
      <c r="R495" s="130">
        <f t="shared" si="209"/>
        <v>171436.20351999998</v>
      </c>
      <c r="S495" s="115"/>
    </row>
    <row r="496" spans="1:19" ht="13.5" thickBot="1">
      <c r="A496" s="18">
        <v>8</v>
      </c>
      <c r="B496" s="144">
        <f>R150+B495</f>
        <v>631970.24</v>
      </c>
      <c r="C496" s="145"/>
      <c r="D496" s="130">
        <f t="shared" si="205"/>
        <v>14967.779199999997</v>
      </c>
      <c r="E496" s="130"/>
      <c r="F496" s="144"/>
      <c r="G496" s="144"/>
      <c r="H496" s="130">
        <f t="shared" si="206"/>
        <v>272.14144</v>
      </c>
      <c r="I496" s="130"/>
      <c r="J496" s="130">
        <f t="shared" si="207"/>
        <v>1973.0254399999997</v>
      </c>
      <c r="K496" s="130"/>
      <c r="L496" s="130"/>
      <c r="M496" s="130">
        <f t="shared" si="208"/>
        <v>3469.8033599999994</v>
      </c>
      <c r="N496" s="130"/>
      <c r="O496" s="130"/>
      <c r="P496" s="142">
        <f t="shared" si="204"/>
        <v>20682.749439999996</v>
      </c>
      <c r="Q496" s="143"/>
      <c r="R496" s="144">
        <f t="shared" si="209"/>
        <v>192118.95295999997</v>
      </c>
      <c r="S496" s="145"/>
    </row>
    <row r="497" spans="1:19" ht="13.5" thickBot="1">
      <c r="A497" s="134" t="s">
        <v>99</v>
      </c>
      <c r="B497" s="135"/>
      <c r="C497" s="135"/>
      <c r="D497" s="135"/>
      <c r="E497" s="135"/>
      <c r="F497" s="135"/>
      <c r="G497" s="135"/>
      <c r="H497" s="135"/>
      <c r="I497" s="135"/>
      <c r="J497" s="135"/>
      <c r="K497" s="135"/>
      <c r="L497" s="135"/>
      <c r="M497" s="135"/>
      <c r="N497" s="135"/>
      <c r="O497" s="135"/>
      <c r="P497" s="135"/>
      <c r="Q497" s="135"/>
      <c r="R497" s="135"/>
      <c r="S497" s="136"/>
    </row>
    <row r="498" spans="1:19" ht="12.75">
      <c r="A498" s="17">
        <v>9</v>
      </c>
      <c r="B498" s="132">
        <f>G158+B496</f>
        <v>690262.5599999999</v>
      </c>
      <c r="C498" s="133"/>
      <c r="D498" s="130">
        <f>(B498-B496)/100*22</f>
        <v>12824.31039999999</v>
      </c>
      <c r="E498" s="130"/>
      <c r="F498" s="133"/>
      <c r="G498" s="133"/>
      <c r="H498" s="130">
        <f>(B498-B496)/100*0.4</f>
        <v>233.16927999999982</v>
      </c>
      <c r="I498" s="130"/>
      <c r="J498" s="130">
        <f>(B498-B496)/100*2.9</f>
        <v>1690.4772799999985</v>
      </c>
      <c r="K498" s="130"/>
      <c r="L498" s="130"/>
      <c r="M498" s="130">
        <f>(B498-B496)/100*5.1</f>
        <v>2972.9083199999973</v>
      </c>
      <c r="N498" s="130"/>
      <c r="O498" s="130"/>
      <c r="P498" s="137">
        <f>M498+J498+H498+D498</f>
        <v>17720.865279999984</v>
      </c>
      <c r="Q498" s="138"/>
      <c r="R498" s="132">
        <f>R496+P498</f>
        <v>209839.81823999994</v>
      </c>
      <c r="S498" s="133"/>
    </row>
    <row r="499" spans="1:19" ht="12.75">
      <c r="A499" s="13">
        <v>10</v>
      </c>
      <c r="B499" s="130">
        <f>H158+B498</f>
        <v>775348.24</v>
      </c>
      <c r="C499" s="115"/>
      <c r="D499" s="130">
        <f>(B499-B498)/100*22</f>
        <v>18718.84960000001</v>
      </c>
      <c r="E499" s="130"/>
      <c r="F499" s="115"/>
      <c r="G499" s="115"/>
      <c r="H499" s="130">
        <f>(B499-B498)/100*0.4</f>
        <v>340.3427200000002</v>
      </c>
      <c r="I499" s="130"/>
      <c r="J499" s="130">
        <f>(B499-B498)/100*2.9</f>
        <v>2467.4847200000013</v>
      </c>
      <c r="K499" s="130"/>
      <c r="L499" s="130"/>
      <c r="M499" s="130">
        <f>(B499-B498)/100*5.1</f>
        <v>4339.3696800000025</v>
      </c>
      <c r="N499" s="130"/>
      <c r="O499" s="130"/>
      <c r="P499" s="114">
        <f>M499+J499+H499+D499</f>
        <v>25866.046720000013</v>
      </c>
      <c r="Q499" s="126"/>
      <c r="R499" s="130">
        <f>R498+P499</f>
        <v>235705.86495999995</v>
      </c>
      <c r="S499" s="115"/>
    </row>
    <row r="500" spans="1:19" ht="12.75">
      <c r="A500" s="13">
        <v>11</v>
      </c>
      <c r="B500" s="130">
        <f>I158+B499</f>
        <v>875048.48</v>
      </c>
      <c r="C500" s="115"/>
      <c r="D500" s="130">
        <f>(B500-B499)/100*22</f>
        <v>21934.052799999998</v>
      </c>
      <c r="E500" s="130"/>
      <c r="F500" s="130"/>
      <c r="G500" s="130"/>
      <c r="H500" s="130">
        <f>(B500-B499)/100*0.4</f>
        <v>398.80096</v>
      </c>
      <c r="I500" s="130"/>
      <c r="J500" s="130">
        <f>(B500-B499)/100*2.9</f>
        <v>2891.3069599999994</v>
      </c>
      <c r="K500" s="130"/>
      <c r="L500" s="130"/>
      <c r="M500" s="130">
        <f>(B500-B499)/100*5.1</f>
        <v>5084.712239999999</v>
      </c>
      <c r="N500" s="130"/>
      <c r="O500" s="130"/>
      <c r="P500" s="114">
        <f>M500+J500+H500+D500</f>
        <v>30308.872959999997</v>
      </c>
      <c r="Q500" s="126"/>
      <c r="R500" s="130">
        <f>R499+P500</f>
        <v>266014.7379199999</v>
      </c>
      <c r="S500" s="115"/>
    </row>
    <row r="501" spans="1:19" ht="13.5" thickBot="1">
      <c r="A501" s="13">
        <v>12</v>
      </c>
      <c r="B501" s="130">
        <f>J158+B500</f>
        <v>989363.28</v>
      </c>
      <c r="C501" s="115"/>
      <c r="D501" s="130">
        <f>(B501-B500)/100*22</f>
        <v>25149.25600000001</v>
      </c>
      <c r="E501" s="130"/>
      <c r="F501" s="130"/>
      <c r="G501" s="130"/>
      <c r="H501" s="130">
        <f>(B501-B500)/100*0.4</f>
        <v>457.2592000000002</v>
      </c>
      <c r="I501" s="130"/>
      <c r="J501" s="130">
        <f>(912000-B500)/100*2.9</f>
        <v>1071.5940800000005</v>
      </c>
      <c r="K501" s="130"/>
      <c r="L501" s="130"/>
      <c r="M501" s="130">
        <f>(B501-B500)/100*5.1</f>
        <v>5830.054800000002</v>
      </c>
      <c r="N501" s="130"/>
      <c r="O501" s="130"/>
      <c r="P501" s="114">
        <f>M501+J501+H501+D501</f>
        <v>32508.16408000001</v>
      </c>
      <c r="Q501" s="126"/>
      <c r="R501" s="130">
        <f>R500+P501</f>
        <v>298522.90199999994</v>
      </c>
      <c r="S501" s="115"/>
    </row>
    <row r="502" spans="1:19" ht="13.5" thickBot="1">
      <c r="A502" s="134" t="s">
        <v>90</v>
      </c>
      <c r="B502" s="135"/>
      <c r="C502" s="135"/>
      <c r="D502" s="135"/>
      <c r="E502" s="135"/>
      <c r="F502" s="135"/>
      <c r="G502" s="135"/>
      <c r="H502" s="135"/>
      <c r="I502" s="135"/>
      <c r="J502" s="135"/>
      <c r="K502" s="135"/>
      <c r="L502" s="135"/>
      <c r="M502" s="135"/>
      <c r="N502" s="135"/>
      <c r="O502" s="135"/>
      <c r="P502" s="135"/>
      <c r="Q502" s="135"/>
      <c r="R502" s="135"/>
      <c r="S502" s="136"/>
    </row>
    <row r="503" spans="1:19" ht="12.75">
      <c r="A503" s="17">
        <v>1</v>
      </c>
      <c r="B503" s="132">
        <f>K158</f>
        <v>114314.8</v>
      </c>
      <c r="C503" s="133"/>
      <c r="D503" s="132">
        <f>B503/100*22</f>
        <v>25149.256</v>
      </c>
      <c r="E503" s="132"/>
      <c r="F503" s="133"/>
      <c r="G503" s="133"/>
      <c r="H503" s="132">
        <f>B503/100*0.4</f>
        <v>457.2592000000001</v>
      </c>
      <c r="I503" s="132"/>
      <c r="J503" s="132">
        <f>B503/100*2.9</f>
        <v>3315.1292000000003</v>
      </c>
      <c r="K503" s="132"/>
      <c r="L503" s="132"/>
      <c r="M503" s="132">
        <f>B503/100*5.1</f>
        <v>5830.0548</v>
      </c>
      <c r="N503" s="132"/>
      <c r="O503" s="132"/>
      <c r="P503" s="137">
        <f aca="true" t="shared" si="210" ref="P503:P510">M503+J503+H503+D503</f>
        <v>34751.6992</v>
      </c>
      <c r="Q503" s="138"/>
      <c r="R503" s="132">
        <f>P503</f>
        <v>34751.6992</v>
      </c>
      <c r="S503" s="133"/>
    </row>
    <row r="504" spans="1:19" ht="12.75">
      <c r="A504" s="13">
        <v>2</v>
      </c>
      <c r="B504" s="130">
        <f>L158+B503</f>
        <v>228629.6</v>
      </c>
      <c r="C504" s="115"/>
      <c r="D504" s="130">
        <f aca="true" t="shared" si="211" ref="D504:D510">(B504-B503)/100*22</f>
        <v>25149.256</v>
      </c>
      <c r="E504" s="130"/>
      <c r="F504" s="115"/>
      <c r="G504" s="115"/>
      <c r="H504" s="130">
        <f aca="true" t="shared" si="212" ref="H504:H510">(B504-B503)/100*0.4</f>
        <v>457.2592000000001</v>
      </c>
      <c r="I504" s="130"/>
      <c r="J504" s="130">
        <f aca="true" t="shared" si="213" ref="J504:J510">(B504-B503)/100*2.9</f>
        <v>3315.1292000000003</v>
      </c>
      <c r="K504" s="130"/>
      <c r="L504" s="130"/>
      <c r="M504" s="130">
        <f aca="true" t="shared" si="214" ref="M504:M510">(B504-B503)/100*5.1</f>
        <v>5830.0548</v>
      </c>
      <c r="N504" s="130"/>
      <c r="O504" s="130"/>
      <c r="P504" s="114">
        <f t="shared" si="210"/>
        <v>34751.6992</v>
      </c>
      <c r="Q504" s="126"/>
      <c r="R504" s="130">
        <f aca="true" t="shared" si="215" ref="R504:R510">R503+P504</f>
        <v>69503.3984</v>
      </c>
      <c r="S504" s="115"/>
    </row>
    <row r="505" spans="1:19" ht="12.75">
      <c r="A505" s="13">
        <v>3</v>
      </c>
      <c r="B505" s="130">
        <f>M158+B504</f>
        <v>325894.08</v>
      </c>
      <c r="C505" s="115"/>
      <c r="D505" s="130">
        <f t="shared" si="211"/>
        <v>21398.185600000004</v>
      </c>
      <c r="E505" s="130"/>
      <c r="F505" s="115"/>
      <c r="G505" s="115"/>
      <c r="H505" s="130">
        <f t="shared" si="212"/>
        <v>389.0579200000001</v>
      </c>
      <c r="I505" s="130"/>
      <c r="J505" s="130">
        <f t="shared" si="213"/>
        <v>2820.6699200000003</v>
      </c>
      <c r="K505" s="130"/>
      <c r="L505" s="130"/>
      <c r="M505" s="130">
        <f t="shared" si="214"/>
        <v>4960.48848</v>
      </c>
      <c r="N505" s="130"/>
      <c r="O505" s="130"/>
      <c r="P505" s="114">
        <f t="shared" si="210"/>
        <v>29568.401920000004</v>
      </c>
      <c r="Q505" s="126"/>
      <c r="R505" s="130">
        <f t="shared" si="215"/>
        <v>99071.80032000001</v>
      </c>
      <c r="S505" s="115"/>
    </row>
    <row r="506" spans="1:19" ht="12.75">
      <c r="A506" s="13">
        <v>4</v>
      </c>
      <c r="B506" s="130">
        <f>N158+B505</f>
        <v>423158.56000000006</v>
      </c>
      <c r="C506" s="115"/>
      <c r="D506" s="130">
        <f t="shared" si="211"/>
        <v>21398.185600000008</v>
      </c>
      <c r="E506" s="130"/>
      <c r="F506" s="115"/>
      <c r="G506" s="115"/>
      <c r="H506" s="130">
        <f t="shared" si="212"/>
        <v>389.0579200000002</v>
      </c>
      <c r="I506" s="130"/>
      <c r="J506" s="130">
        <f t="shared" si="213"/>
        <v>2820.669920000001</v>
      </c>
      <c r="K506" s="130"/>
      <c r="L506" s="130"/>
      <c r="M506" s="130">
        <f t="shared" si="214"/>
        <v>4960.488480000002</v>
      </c>
      <c r="N506" s="130"/>
      <c r="O506" s="130"/>
      <c r="P506" s="114">
        <f t="shared" si="210"/>
        <v>29568.40192000001</v>
      </c>
      <c r="Q506" s="126"/>
      <c r="R506" s="130">
        <f t="shared" si="215"/>
        <v>128640.20224000001</v>
      </c>
      <c r="S506" s="115"/>
    </row>
    <row r="507" spans="1:19" ht="12.75">
      <c r="A507" s="13">
        <v>5</v>
      </c>
      <c r="B507" s="130">
        <f>O158+B506</f>
        <v>464400.56000000006</v>
      </c>
      <c r="C507" s="115"/>
      <c r="D507" s="130">
        <f t="shared" si="211"/>
        <v>9073.24</v>
      </c>
      <c r="E507" s="130"/>
      <c r="F507" s="115"/>
      <c r="G507" s="115"/>
      <c r="H507" s="130">
        <f t="shared" si="212"/>
        <v>164.96800000000002</v>
      </c>
      <c r="I507" s="130"/>
      <c r="J507" s="130">
        <f t="shared" si="213"/>
        <v>1196.018</v>
      </c>
      <c r="K507" s="130"/>
      <c r="L507" s="130"/>
      <c r="M507" s="130">
        <f t="shared" si="214"/>
        <v>2103.342</v>
      </c>
      <c r="N507" s="130"/>
      <c r="O507" s="130"/>
      <c r="P507" s="114">
        <f t="shared" si="210"/>
        <v>12537.568</v>
      </c>
      <c r="Q507" s="126"/>
      <c r="R507" s="130">
        <f t="shared" si="215"/>
        <v>141177.77024</v>
      </c>
      <c r="S507" s="115"/>
    </row>
    <row r="508" spans="1:19" ht="12.75">
      <c r="A508" s="13">
        <v>6</v>
      </c>
      <c r="B508" s="130">
        <f>P158+B507</f>
        <v>512949.8400000001</v>
      </c>
      <c r="C508" s="115"/>
      <c r="D508" s="130">
        <f t="shared" si="211"/>
        <v>10680.841600000005</v>
      </c>
      <c r="E508" s="130"/>
      <c r="F508" s="130"/>
      <c r="G508" s="130"/>
      <c r="H508" s="130">
        <f t="shared" si="212"/>
        <v>194.19712000000013</v>
      </c>
      <c r="I508" s="130"/>
      <c r="J508" s="130">
        <f t="shared" si="213"/>
        <v>1407.9291200000007</v>
      </c>
      <c r="K508" s="130"/>
      <c r="L508" s="130"/>
      <c r="M508" s="130">
        <f t="shared" si="214"/>
        <v>2476.013280000001</v>
      </c>
      <c r="N508" s="130"/>
      <c r="O508" s="130"/>
      <c r="P508" s="114">
        <f t="shared" si="210"/>
        <v>14758.981120000008</v>
      </c>
      <c r="Q508" s="126"/>
      <c r="R508" s="130">
        <f t="shared" si="215"/>
        <v>155936.75136000002</v>
      </c>
      <c r="S508" s="115"/>
    </row>
    <row r="509" spans="1:19" ht="12.75">
      <c r="A509" s="13">
        <v>7</v>
      </c>
      <c r="B509" s="130">
        <f>Q158+B508</f>
        <v>563934.8800000001</v>
      </c>
      <c r="C509" s="115"/>
      <c r="D509" s="130">
        <f t="shared" si="211"/>
        <v>11216.708800000008</v>
      </c>
      <c r="E509" s="130"/>
      <c r="F509" s="130"/>
      <c r="G509" s="130"/>
      <c r="H509" s="130">
        <f t="shared" si="212"/>
        <v>203.94016000000016</v>
      </c>
      <c r="I509" s="130"/>
      <c r="J509" s="130">
        <f t="shared" si="213"/>
        <v>1478.566160000001</v>
      </c>
      <c r="K509" s="130"/>
      <c r="L509" s="130"/>
      <c r="M509" s="130">
        <f t="shared" si="214"/>
        <v>2600.237040000002</v>
      </c>
      <c r="N509" s="130"/>
      <c r="O509" s="130"/>
      <c r="P509" s="114">
        <f t="shared" si="210"/>
        <v>15499.452160000012</v>
      </c>
      <c r="Q509" s="126"/>
      <c r="R509" s="130">
        <f t="shared" si="215"/>
        <v>171436.20352000004</v>
      </c>
      <c r="S509" s="115"/>
    </row>
    <row r="510" spans="1:19" ht="13.5" thickBot="1">
      <c r="A510" s="18">
        <v>8</v>
      </c>
      <c r="B510" s="144">
        <f>R158+B509</f>
        <v>631970.2400000001</v>
      </c>
      <c r="C510" s="145"/>
      <c r="D510" s="130">
        <f t="shared" si="211"/>
        <v>14967.779199999997</v>
      </c>
      <c r="E510" s="130"/>
      <c r="F510" s="144"/>
      <c r="G510" s="144"/>
      <c r="H510" s="130">
        <f t="shared" si="212"/>
        <v>272.14144</v>
      </c>
      <c r="I510" s="130"/>
      <c r="J510" s="130">
        <f t="shared" si="213"/>
        <v>1973.0254399999997</v>
      </c>
      <c r="K510" s="130"/>
      <c r="L510" s="130"/>
      <c r="M510" s="130">
        <f t="shared" si="214"/>
        <v>3469.8033599999994</v>
      </c>
      <c r="N510" s="130"/>
      <c r="O510" s="130"/>
      <c r="P510" s="142">
        <f t="shared" si="210"/>
        <v>20682.749439999996</v>
      </c>
      <c r="Q510" s="143"/>
      <c r="R510" s="144">
        <f t="shared" si="215"/>
        <v>192118.95296000002</v>
      </c>
      <c r="S510" s="145"/>
    </row>
    <row r="511" spans="1:19" ht="13.5" thickBot="1">
      <c r="A511" s="134" t="s">
        <v>100</v>
      </c>
      <c r="B511" s="135"/>
      <c r="C511" s="135"/>
      <c r="D511" s="135"/>
      <c r="E511" s="135"/>
      <c r="F511" s="135"/>
      <c r="G511" s="135"/>
      <c r="H511" s="135"/>
      <c r="I511" s="135"/>
      <c r="J511" s="135"/>
      <c r="K511" s="135"/>
      <c r="L511" s="135"/>
      <c r="M511" s="135"/>
      <c r="N511" s="135"/>
      <c r="O511" s="135"/>
      <c r="P511" s="135"/>
      <c r="Q511" s="135"/>
      <c r="R511" s="135"/>
      <c r="S511" s="136"/>
    </row>
    <row r="512" spans="1:19" ht="12.75">
      <c r="A512" s="17">
        <v>9</v>
      </c>
      <c r="B512" s="132">
        <f>G166+B510</f>
        <v>690262.56</v>
      </c>
      <c r="C512" s="133"/>
      <c r="D512" s="130">
        <f>(B512-B510)/100*22</f>
        <v>12824.31039999999</v>
      </c>
      <c r="E512" s="130"/>
      <c r="F512" s="133"/>
      <c r="G512" s="133"/>
      <c r="H512" s="130">
        <f>(B512-B510)/100*0.4</f>
        <v>233.16927999999982</v>
      </c>
      <c r="I512" s="130"/>
      <c r="J512" s="130">
        <f>(B512-B510)/100*2.9</f>
        <v>1690.4772799999985</v>
      </c>
      <c r="K512" s="130"/>
      <c r="L512" s="130"/>
      <c r="M512" s="130">
        <f>(B512-B510)/100*5.1</f>
        <v>2972.9083199999973</v>
      </c>
      <c r="N512" s="130"/>
      <c r="O512" s="130"/>
      <c r="P512" s="137">
        <f>M512+J512+H512+D512</f>
        <v>17720.865279999984</v>
      </c>
      <c r="Q512" s="138"/>
      <c r="R512" s="132">
        <f>R510+P512</f>
        <v>209839.81824</v>
      </c>
      <c r="S512" s="133"/>
    </row>
    <row r="513" spans="1:19" ht="12.75">
      <c r="A513" s="13">
        <v>10</v>
      </c>
      <c r="B513" s="130">
        <f>H166+B512</f>
        <v>775348.24</v>
      </c>
      <c r="C513" s="115"/>
      <c r="D513" s="130">
        <f>(B513-B512)/100*22</f>
        <v>18718.849599999987</v>
      </c>
      <c r="E513" s="130"/>
      <c r="F513" s="115"/>
      <c r="G513" s="115"/>
      <c r="H513" s="130">
        <f>(B513-B512)/100*0.4</f>
        <v>340.34271999999976</v>
      </c>
      <c r="I513" s="130"/>
      <c r="J513" s="130">
        <f>(B513-B512)/100*2.9</f>
        <v>2467.484719999998</v>
      </c>
      <c r="K513" s="130"/>
      <c r="L513" s="130"/>
      <c r="M513" s="130">
        <f>(B513-B512)/100*5.1</f>
        <v>4339.369679999996</v>
      </c>
      <c r="N513" s="130"/>
      <c r="O513" s="130"/>
      <c r="P513" s="114">
        <f>M513+J513+H513+D513</f>
        <v>25866.04671999998</v>
      </c>
      <c r="Q513" s="126"/>
      <c r="R513" s="130">
        <f>R512+P513</f>
        <v>235705.86495999998</v>
      </c>
      <c r="S513" s="115"/>
    </row>
    <row r="514" spans="1:19" ht="12.75">
      <c r="A514" s="13">
        <v>11</v>
      </c>
      <c r="B514" s="130">
        <f>I166+B513</f>
        <v>875048.48</v>
      </c>
      <c r="C514" s="115"/>
      <c r="D514" s="130">
        <f>(B514-B513)/100*22</f>
        <v>21934.052799999998</v>
      </c>
      <c r="E514" s="130"/>
      <c r="F514" s="130"/>
      <c r="G514" s="130"/>
      <c r="H514" s="130">
        <f>(B514-B513)/100*0.4</f>
        <v>398.80096</v>
      </c>
      <c r="I514" s="130"/>
      <c r="J514" s="130">
        <f>(B514-B513)/100*2.9</f>
        <v>2891.3069599999994</v>
      </c>
      <c r="K514" s="130"/>
      <c r="L514" s="130"/>
      <c r="M514" s="130">
        <f>(B514-B513)/100*5.1</f>
        <v>5084.712239999999</v>
      </c>
      <c r="N514" s="130"/>
      <c r="O514" s="130"/>
      <c r="P514" s="114">
        <f>M514+J514+H514+D514</f>
        <v>30308.872959999997</v>
      </c>
      <c r="Q514" s="126"/>
      <c r="R514" s="130">
        <f>R513+P514</f>
        <v>266014.73792</v>
      </c>
      <c r="S514" s="115"/>
    </row>
    <row r="515" spans="1:19" ht="13.5" thickBot="1">
      <c r="A515" s="13">
        <v>12</v>
      </c>
      <c r="B515" s="130">
        <f>J166+B514</f>
        <v>989363.28</v>
      </c>
      <c r="C515" s="115"/>
      <c r="D515" s="130">
        <f>(B515-B514)/100*22</f>
        <v>25149.25600000001</v>
      </c>
      <c r="E515" s="130"/>
      <c r="F515" s="130"/>
      <c r="G515" s="130"/>
      <c r="H515" s="130">
        <f>(B515-B514)/100*0.4</f>
        <v>457.2592000000002</v>
      </c>
      <c r="I515" s="130"/>
      <c r="J515" s="130">
        <f>(912000-B514)/100*2.9</f>
        <v>1071.5940800000005</v>
      </c>
      <c r="K515" s="130"/>
      <c r="L515" s="130"/>
      <c r="M515" s="130">
        <f>(B515-B514)/100*5.1</f>
        <v>5830.054800000002</v>
      </c>
      <c r="N515" s="130"/>
      <c r="O515" s="130"/>
      <c r="P515" s="114">
        <f>M515+J515+H515+D515</f>
        <v>32508.16408000001</v>
      </c>
      <c r="Q515" s="126"/>
      <c r="R515" s="130">
        <f>R514+P515</f>
        <v>298522.902</v>
      </c>
      <c r="S515" s="115"/>
    </row>
    <row r="516" spans="1:19" ht="13.5" thickBot="1">
      <c r="A516" s="134" t="s">
        <v>90</v>
      </c>
      <c r="B516" s="135"/>
      <c r="C516" s="135"/>
      <c r="D516" s="135"/>
      <c r="E516" s="135"/>
      <c r="F516" s="135"/>
      <c r="G516" s="135"/>
      <c r="H516" s="135"/>
      <c r="I516" s="135"/>
      <c r="J516" s="135"/>
      <c r="K516" s="135"/>
      <c r="L516" s="135"/>
      <c r="M516" s="135"/>
      <c r="N516" s="135"/>
      <c r="O516" s="135"/>
      <c r="P516" s="135"/>
      <c r="Q516" s="135"/>
      <c r="R516" s="135"/>
      <c r="S516" s="136"/>
    </row>
    <row r="517" spans="1:19" ht="12.75">
      <c r="A517" s="17">
        <v>1</v>
      </c>
      <c r="B517" s="132">
        <f>K166</f>
        <v>114314.8</v>
      </c>
      <c r="C517" s="133"/>
      <c r="D517" s="132">
        <f>B517/100*22</f>
        <v>25149.256</v>
      </c>
      <c r="E517" s="132"/>
      <c r="F517" s="133"/>
      <c r="G517" s="133"/>
      <c r="H517" s="132">
        <f>B517/100*0.4</f>
        <v>457.2592000000001</v>
      </c>
      <c r="I517" s="132"/>
      <c r="J517" s="132">
        <f>B517/100*2.9</f>
        <v>3315.1292000000003</v>
      </c>
      <c r="K517" s="132"/>
      <c r="L517" s="132"/>
      <c r="M517" s="132">
        <f>B517/100*5.1</f>
        <v>5830.0548</v>
      </c>
      <c r="N517" s="132"/>
      <c r="O517" s="132"/>
      <c r="P517" s="137">
        <f aca="true" t="shared" si="216" ref="P517:P524">M517+J517+H517+D517</f>
        <v>34751.6992</v>
      </c>
      <c r="Q517" s="138"/>
      <c r="R517" s="132">
        <f>P517</f>
        <v>34751.6992</v>
      </c>
      <c r="S517" s="133"/>
    </row>
    <row r="518" spans="1:19" ht="12.75">
      <c r="A518" s="13">
        <v>2</v>
      </c>
      <c r="B518" s="130">
        <f>L166+B517</f>
        <v>228629.6</v>
      </c>
      <c r="C518" s="115"/>
      <c r="D518" s="130">
        <f aca="true" t="shared" si="217" ref="D518:D524">(B518-B517)/100*22</f>
        <v>25149.256</v>
      </c>
      <c r="E518" s="130"/>
      <c r="F518" s="115"/>
      <c r="G518" s="115"/>
      <c r="H518" s="130">
        <f aca="true" t="shared" si="218" ref="H518:H524">(B518-B517)/100*0.4</f>
        <v>457.2592000000001</v>
      </c>
      <c r="I518" s="130"/>
      <c r="J518" s="130">
        <f aca="true" t="shared" si="219" ref="J518:J524">(B518-B517)/100*2.9</f>
        <v>3315.1292000000003</v>
      </c>
      <c r="K518" s="130"/>
      <c r="L518" s="130"/>
      <c r="M518" s="130">
        <f aca="true" t="shared" si="220" ref="M518:M524">(B518-B517)/100*5.1</f>
        <v>5830.0548</v>
      </c>
      <c r="N518" s="130"/>
      <c r="O518" s="130"/>
      <c r="P518" s="114">
        <f t="shared" si="216"/>
        <v>34751.6992</v>
      </c>
      <c r="Q518" s="126"/>
      <c r="R518" s="130">
        <f aca="true" t="shared" si="221" ref="R518:R524">R517+P518</f>
        <v>69503.3984</v>
      </c>
      <c r="S518" s="115"/>
    </row>
    <row r="519" spans="1:19" ht="12.75">
      <c r="A519" s="13">
        <v>3</v>
      </c>
      <c r="B519" s="130">
        <f>M166+B518</f>
        <v>325894.08</v>
      </c>
      <c r="C519" s="115"/>
      <c r="D519" s="130">
        <f t="shared" si="217"/>
        <v>21398.185600000004</v>
      </c>
      <c r="E519" s="130"/>
      <c r="F519" s="115"/>
      <c r="G519" s="115"/>
      <c r="H519" s="130">
        <f t="shared" si="218"/>
        <v>389.0579200000001</v>
      </c>
      <c r="I519" s="130"/>
      <c r="J519" s="130">
        <f t="shared" si="219"/>
        <v>2820.6699200000003</v>
      </c>
      <c r="K519" s="130"/>
      <c r="L519" s="130"/>
      <c r="M519" s="130">
        <f t="shared" si="220"/>
        <v>4960.48848</v>
      </c>
      <c r="N519" s="130"/>
      <c r="O519" s="130"/>
      <c r="P519" s="114">
        <f t="shared" si="216"/>
        <v>29568.401920000004</v>
      </c>
      <c r="Q519" s="126"/>
      <c r="R519" s="130">
        <f t="shared" si="221"/>
        <v>99071.80032000001</v>
      </c>
      <c r="S519" s="115"/>
    </row>
    <row r="520" spans="1:19" ht="12.75">
      <c r="A520" s="13">
        <v>4</v>
      </c>
      <c r="B520" s="130">
        <f>N166+B519</f>
        <v>423158.56000000006</v>
      </c>
      <c r="C520" s="115"/>
      <c r="D520" s="130">
        <f t="shared" si="217"/>
        <v>21398.185600000008</v>
      </c>
      <c r="E520" s="130"/>
      <c r="F520" s="115"/>
      <c r="G520" s="115"/>
      <c r="H520" s="130">
        <f t="shared" si="218"/>
        <v>389.0579200000002</v>
      </c>
      <c r="I520" s="130"/>
      <c r="J520" s="130">
        <f t="shared" si="219"/>
        <v>2820.669920000001</v>
      </c>
      <c r="K520" s="130"/>
      <c r="L520" s="130"/>
      <c r="M520" s="130">
        <f t="shared" si="220"/>
        <v>4960.488480000002</v>
      </c>
      <c r="N520" s="130"/>
      <c r="O520" s="130"/>
      <c r="P520" s="114">
        <f t="shared" si="216"/>
        <v>29568.40192000001</v>
      </c>
      <c r="Q520" s="126"/>
      <c r="R520" s="130">
        <f t="shared" si="221"/>
        <v>128640.20224000001</v>
      </c>
      <c r="S520" s="115"/>
    </row>
    <row r="521" spans="1:19" ht="12.75">
      <c r="A521" s="13">
        <v>5</v>
      </c>
      <c r="B521" s="130">
        <f>O166+B520</f>
        <v>464400.56000000006</v>
      </c>
      <c r="C521" s="115"/>
      <c r="D521" s="130">
        <f t="shared" si="217"/>
        <v>9073.24</v>
      </c>
      <c r="E521" s="130"/>
      <c r="F521" s="115"/>
      <c r="G521" s="115"/>
      <c r="H521" s="130">
        <f t="shared" si="218"/>
        <v>164.96800000000002</v>
      </c>
      <c r="I521" s="130"/>
      <c r="J521" s="130">
        <f t="shared" si="219"/>
        <v>1196.018</v>
      </c>
      <c r="K521" s="130"/>
      <c r="L521" s="130"/>
      <c r="M521" s="130">
        <f t="shared" si="220"/>
        <v>2103.342</v>
      </c>
      <c r="N521" s="130"/>
      <c r="O521" s="130"/>
      <c r="P521" s="114">
        <f t="shared" si="216"/>
        <v>12537.568</v>
      </c>
      <c r="Q521" s="126"/>
      <c r="R521" s="130">
        <f t="shared" si="221"/>
        <v>141177.77024</v>
      </c>
      <c r="S521" s="115"/>
    </row>
    <row r="522" spans="1:19" ht="12.75">
      <c r="A522" s="13">
        <v>6</v>
      </c>
      <c r="B522" s="130">
        <f>P166+B521</f>
        <v>512949.8400000001</v>
      </c>
      <c r="C522" s="115"/>
      <c r="D522" s="130">
        <f t="shared" si="217"/>
        <v>10680.841600000005</v>
      </c>
      <c r="E522" s="130"/>
      <c r="F522" s="130"/>
      <c r="G522" s="130"/>
      <c r="H522" s="130">
        <f t="shared" si="218"/>
        <v>194.19712000000013</v>
      </c>
      <c r="I522" s="130"/>
      <c r="J522" s="130">
        <f t="shared" si="219"/>
        <v>1407.9291200000007</v>
      </c>
      <c r="K522" s="130"/>
      <c r="L522" s="130"/>
      <c r="M522" s="130">
        <f t="shared" si="220"/>
        <v>2476.013280000001</v>
      </c>
      <c r="N522" s="130"/>
      <c r="O522" s="130"/>
      <c r="P522" s="114">
        <f t="shared" si="216"/>
        <v>14758.981120000008</v>
      </c>
      <c r="Q522" s="126"/>
      <c r="R522" s="130">
        <f t="shared" si="221"/>
        <v>155936.75136000002</v>
      </c>
      <c r="S522" s="115"/>
    </row>
    <row r="523" spans="1:19" ht="12.75">
      <c r="A523" s="13">
        <v>7</v>
      </c>
      <c r="B523" s="130">
        <f>Q166+B522</f>
        <v>563934.8800000001</v>
      </c>
      <c r="C523" s="115"/>
      <c r="D523" s="130">
        <f t="shared" si="217"/>
        <v>11216.708800000008</v>
      </c>
      <c r="E523" s="130"/>
      <c r="F523" s="130"/>
      <c r="G523" s="130"/>
      <c r="H523" s="130">
        <f t="shared" si="218"/>
        <v>203.94016000000016</v>
      </c>
      <c r="I523" s="130"/>
      <c r="J523" s="130">
        <f t="shared" si="219"/>
        <v>1478.566160000001</v>
      </c>
      <c r="K523" s="130"/>
      <c r="L523" s="130"/>
      <c r="M523" s="130">
        <f t="shared" si="220"/>
        <v>2600.237040000002</v>
      </c>
      <c r="N523" s="130"/>
      <c r="O523" s="130"/>
      <c r="P523" s="114">
        <f t="shared" si="216"/>
        <v>15499.452160000012</v>
      </c>
      <c r="Q523" s="126"/>
      <c r="R523" s="130">
        <f t="shared" si="221"/>
        <v>171436.20352000004</v>
      </c>
      <c r="S523" s="115"/>
    </row>
    <row r="524" spans="1:19" ht="13.5" thickBot="1">
      <c r="A524" s="18">
        <v>8</v>
      </c>
      <c r="B524" s="144">
        <f>R166+B523</f>
        <v>631970.2400000001</v>
      </c>
      <c r="C524" s="145"/>
      <c r="D524" s="130">
        <f t="shared" si="217"/>
        <v>14967.779199999997</v>
      </c>
      <c r="E524" s="130"/>
      <c r="F524" s="144"/>
      <c r="G524" s="144"/>
      <c r="H524" s="130">
        <f t="shared" si="218"/>
        <v>272.14144</v>
      </c>
      <c r="I524" s="130"/>
      <c r="J524" s="130">
        <f t="shared" si="219"/>
        <v>1973.0254399999997</v>
      </c>
      <c r="K524" s="130"/>
      <c r="L524" s="130"/>
      <c r="M524" s="130">
        <f t="shared" si="220"/>
        <v>3469.8033599999994</v>
      </c>
      <c r="N524" s="130"/>
      <c r="O524" s="130"/>
      <c r="P524" s="142">
        <f t="shared" si="216"/>
        <v>20682.749439999996</v>
      </c>
      <c r="Q524" s="143"/>
      <c r="R524" s="144">
        <f t="shared" si="221"/>
        <v>192118.95296000002</v>
      </c>
      <c r="S524" s="145"/>
    </row>
    <row r="525" spans="1:19" ht="13.5" thickBot="1">
      <c r="A525" s="134" t="s">
        <v>101</v>
      </c>
      <c r="B525" s="135"/>
      <c r="C525" s="135"/>
      <c r="D525" s="135"/>
      <c r="E525" s="135"/>
      <c r="F525" s="135"/>
      <c r="G525" s="135"/>
      <c r="H525" s="135"/>
      <c r="I525" s="135"/>
      <c r="J525" s="135"/>
      <c r="K525" s="135"/>
      <c r="L525" s="135"/>
      <c r="M525" s="135"/>
      <c r="N525" s="135"/>
      <c r="O525" s="135"/>
      <c r="P525" s="135"/>
      <c r="Q525" s="135"/>
      <c r="R525" s="135"/>
      <c r="S525" s="136"/>
    </row>
    <row r="526" spans="1:19" ht="12.75">
      <c r="A526" s="17">
        <v>9</v>
      </c>
      <c r="B526" s="132">
        <f>G174+B524</f>
        <v>692698.3200000001</v>
      </c>
      <c r="C526" s="133"/>
      <c r="D526" s="130">
        <f>(B526-B524)/100*22</f>
        <v>13360.17759999999</v>
      </c>
      <c r="E526" s="130"/>
      <c r="F526" s="133"/>
      <c r="G526" s="133"/>
      <c r="H526" s="130">
        <f>(B526-B524)/100*0.4</f>
        <v>242.91231999999982</v>
      </c>
      <c r="I526" s="130"/>
      <c r="J526" s="130">
        <f>(B526-B524)/100*2.9</f>
        <v>1761.1143199999985</v>
      </c>
      <c r="K526" s="130"/>
      <c r="L526" s="130"/>
      <c r="M526" s="130">
        <f>(B526-B524)/100*5.1</f>
        <v>3097.1320799999976</v>
      </c>
      <c r="N526" s="130"/>
      <c r="O526" s="130"/>
      <c r="P526" s="137">
        <f>M526+J526+H526+D526</f>
        <v>18461.336319999988</v>
      </c>
      <c r="Q526" s="138"/>
      <c r="R526" s="132">
        <f>R524+P526</f>
        <v>210580.28928000003</v>
      </c>
      <c r="S526" s="133"/>
    </row>
    <row r="527" spans="1:19" ht="12.75">
      <c r="A527" s="13">
        <v>10</v>
      </c>
      <c r="B527" s="130">
        <f>H174+B526</f>
        <v>775348.24</v>
      </c>
      <c r="C527" s="115"/>
      <c r="D527" s="130">
        <f>(B527-B526)/100*22</f>
        <v>18182.982399999986</v>
      </c>
      <c r="E527" s="130"/>
      <c r="F527" s="115"/>
      <c r="G527" s="115"/>
      <c r="H527" s="130">
        <f>(B527-B526)/100*0.4</f>
        <v>330.59967999999975</v>
      </c>
      <c r="I527" s="130"/>
      <c r="J527" s="130">
        <f>(B527-B526)/100*2.9</f>
        <v>2396.847679999998</v>
      </c>
      <c r="K527" s="130"/>
      <c r="L527" s="130"/>
      <c r="M527" s="130">
        <f>(B527-B526)/100*5.1</f>
        <v>4215.145919999996</v>
      </c>
      <c r="N527" s="130"/>
      <c r="O527" s="130"/>
      <c r="P527" s="114">
        <f>M527+J527+H527+D527</f>
        <v>25125.57567999998</v>
      </c>
      <c r="Q527" s="126"/>
      <c r="R527" s="130">
        <f>R526+P527</f>
        <v>235705.86496</v>
      </c>
      <c r="S527" s="115"/>
    </row>
    <row r="528" spans="1:19" ht="12.75">
      <c r="A528" s="13">
        <v>11</v>
      </c>
      <c r="B528" s="130">
        <f>I174+B527</f>
        <v>875048.48</v>
      </c>
      <c r="C528" s="115"/>
      <c r="D528" s="130">
        <f>(B528-B527)/100*22</f>
        <v>21934.052799999998</v>
      </c>
      <c r="E528" s="130"/>
      <c r="F528" s="130"/>
      <c r="G528" s="130"/>
      <c r="H528" s="130">
        <f>(B528-B527)/100*0.4</f>
        <v>398.80096</v>
      </c>
      <c r="I528" s="130"/>
      <c r="J528" s="130">
        <f>(B528-B527)/100*2.9</f>
        <v>2891.3069599999994</v>
      </c>
      <c r="K528" s="130"/>
      <c r="L528" s="130"/>
      <c r="M528" s="130">
        <f>(B528-B527)/100*5.1</f>
        <v>5084.712239999999</v>
      </c>
      <c r="N528" s="130"/>
      <c r="O528" s="130"/>
      <c r="P528" s="114">
        <f>M528+J528+H528+D528</f>
        <v>30308.872959999997</v>
      </c>
      <c r="Q528" s="126"/>
      <c r="R528" s="130">
        <f>R527+P528</f>
        <v>266014.73792</v>
      </c>
      <c r="S528" s="115"/>
    </row>
    <row r="529" spans="1:19" ht="13.5" thickBot="1">
      <c r="A529" s="13">
        <v>12</v>
      </c>
      <c r="B529" s="130">
        <f>J174+B528</f>
        <v>989363.28</v>
      </c>
      <c r="C529" s="115"/>
      <c r="D529" s="130">
        <f>(B529-B528)/100*22</f>
        <v>25149.25600000001</v>
      </c>
      <c r="E529" s="130"/>
      <c r="F529" s="130"/>
      <c r="G529" s="130"/>
      <c r="H529" s="130">
        <f>(B529-B528)/100*0.4</f>
        <v>457.2592000000002</v>
      </c>
      <c r="I529" s="130"/>
      <c r="J529" s="130">
        <f>(912000-B528)/100*2.9</f>
        <v>1071.5940800000005</v>
      </c>
      <c r="K529" s="130"/>
      <c r="L529" s="130"/>
      <c r="M529" s="130">
        <f>(B529-B528)/100*5.1</f>
        <v>5830.054800000002</v>
      </c>
      <c r="N529" s="130"/>
      <c r="O529" s="130"/>
      <c r="P529" s="114">
        <f>M529+J529+H529+D529</f>
        <v>32508.16408000001</v>
      </c>
      <c r="Q529" s="126"/>
      <c r="R529" s="130">
        <f>R528+P529</f>
        <v>298522.902</v>
      </c>
      <c r="S529" s="115"/>
    </row>
    <row r="530" spans="1:19" ht="13.5" thickBot="1">
      <c r="A530" s="134" t="s">
        <v>90</v>
      </c>
      <c r="B530" s="135"/>
      <c r="C530" s="135"/>
      <c r="D530" s="135"/>
      <c r="E530" s="135"/>
      <c r="F530" s="135"/>
      <c r="G530" s="135"/>
      <c r="H530" s="135"/>
      <c r="I530" s="135"/>
      <c r="J530" s="135"/>
      <c r="K530" s="135"/>
      <c r="L530" s="135"/>
      <c r="M530" s="135"/>
      <c r="N530" s="135"/>
      <c r="O530" s="135"/>
      <c r="P530" s="135"/>
      <c r="Q530" s="135"/>
      <c r="R530" s="135"/>
      <c r="S530" s="136"/>
    </row>
    <row r="531" spans="1:19" ht="12.75">
      <c r="A531" s="17">
        <v>1</v>
      </c>
      <c r="B531" s="132">
        <f>K174</f>
        <v>114314.8</v>
      </c>
      <c r="C531" s="133"/>
      <c r="D531" s="132">
        <f>B531/100*22</f>
        <v>25149.256</v>
      </c>
      <c r="E531" s="132"/>
      <c r="F531" s="133"/>
      <c r="G531" s="133"/>
      <c r="H531" s="132">
        <f>B531/100*0.4</f>
        <v>457.2592000000001</v>
      </c>
      <c r="I531" s="132"/>
      <c r="J531" s="132">
        <f>B531/100*2.9</f>
        <v>3315.1292000000003</v>
      </c>
      <c r="K531" s="132"/>
      <c r="L531" s="132"/>
      <c r="M531" s="132">
        <f>B531/100*5.1</f>
        <v>5830.0548</v>
      </c>
      <c r="N531" s="132"/>
      <c r="O531" s="132"/>
      <c r="P531" s="137">
        <f aca="true" t="shared" si="222" ref="P531:P538">M531+J531+H531+D531</f>
        <v>34751.6992</v>
      </c>
      <c r="Q531" s="138"/>
      <c r="R531" s="132">
        <f>P531</f>
        <v>34751.6992</v>
      </c>
      <c r="S531" s="133"/>
    </row>
    <row r="532" spans="1:19" ht="12.75">
      <c r="A532" s="13">
        <v>2</v>
      </c>
      <c r="B532" s="130">
        <f>L174+B531</f>
        <v>228629.6</v>
      </c>
      <c r="C532" s="115"/>
      <c r="D532" s="130">
        <f aca="true" t="shared" si="223" ref="D532:D538">(B532-B531)/100*22</f>
        <v>25149.256</v>
      </c>
      <c r="E532" s="130"/>
      <c r="F532" s="115"/>
      <c r="G532" s="115"/>
      <c r="H532" s="130">
        <f aca="true" t="shared" si="224" ref="H532:H538">(B532-B531)/100*0.4</f>
        <v>457.2592000000001</v>
      </c>
      <c r="I532" s="130"/>
      <c r="J532" s="130">
        <f aca="true" t="shared" si="225" ref="J532:J538">(B532-B531)/100*2.9</f>
        <v>3315.1292000000003</v>
      </c>
      <c r="K532" s="130"/>
      <c r="L532" s="130"/>
      <c r="M532" s="130">
        <f aca="true" t="shared" si="226" ref="M532:M538">(B532-B531)/100*5.1</f>
        <v>5830.0548</v>
      </c>
      <c r="N532" s="130"/>
      <c r="O532" s="130"/>
      <c r="P532" s="114">
        <f t="shared" si="222"/>
        <v>34751.6992</v>
      </c>
      <c r="Q532" s="126"/>
      <c r="R532" s="130">
        <f aca="true" t="shared" si="227" ref="R532:R538">R531+P532</f>
        <v>69503.3984</v>
      </c>
      <c r="S532" s="115"/>
    </row>
    <row r="533" spans="1:19" ht="12.75">
      <c r="A533" s="13">
        <v>3</v>
      </c>
      <c r="B533" s="130">
        <f>M174+B532</f>
        <v>325894.08</v>
      </c>
      <c r="C533" s="115"/>
      <c r="D533" s="130">
        <f t="shared" si="223"/>
        <v>21398.185600000004</v>
      </c>
      <c r="E533" s="130"/>
      <c r="F533" s="115"/>
      <c r="G533" s="115"/>
      <c r="H533" s="130">
        <f t="shared" si="224"/>
        <v>389.0579200000001</v>
      </c>
      <c r="I533" s="130"/>
      <c r="J533" s="130">
        <f t="shared" si="225"/>
        <v>2820.6699200000003</v>
      </c>
      <c r="K533" s="130"/>
      <c r="L533" s="130"/>
      <c r="M533" s="130">
        <f t="shared" si="226"/>
        <v>4960.48848</v>
      </c>
      <c r="N533" s="130"/>
      <c r="O533" s="130"/>
      <c r="P533" s="114">
        <f t="shared" si="222"/>
        <v>29568.401920000004</v>
      </c>
      <c r="Q533" s="126"/>
      <c r="R533" s="130">
        <f t="shared" si="227"/>
        <v>99071.80032000001</v>
      </c>
      <c r="S533" s="115"/>
    </row>
    <row r="534" spans="1:19" ht="12.75">
      <c r="A534" s="13">
        <v>4</v>
      </c>
      <c r="B534" s="130">
        <f>N174+B533</f>
        <v>423158.56000000006</v>
      </c>
      <c r="C534" s="115"/>
      <c r="D534" s="130">
        <f t="shared" si="223"/>
        <v>21398.185600000008</v>
      </c>
      <c r="E534" s="130"/>
      <c r="F534" s="115"/>
      <c r="G534" s="115"/>
      <c r="H534" s="130">
        <f t="shared" si="224"/>
        <v>389.0579200000002</v>
      </c>
      <c r="I534" s="130"/>
      <c r="J534" s="130">
        <f t="shared" si="225"/>
        <v>2820.669920000001</v>
      </c>
      <c r="K534" s="130"/>
      <c r="L534" s="130"/>
      <c r="M534" s="130">
        <f t="shared" si="226"/>
        <v>4960.488480000002</v>
      </c>
      <c r="N534" s="130"/>
      <c r="O534" s="130"/>
      <c r="P534" s="114">
        <f t="shared" si="222"/>
        <v>29568.40192000001</v>
      </c>
      <c r="Q534" s="126"/>
      <c r="R534" s="130">
        <f t="shared" si="227"/>
        <v>128640.20224000001</v>
      </c>
      <c r="S534" s="115"/>
    </row>
    <row r="535" spans="1:19" ht="12.75">
      <c r="A535" s="13">
        <v>5</v>
      </c>
      <c r="B535" s="130">
        <f>O174+B534</f>
        <v>464400.56000000006</v>
      </c>
      <c r="C535" s="115"/>
      <c r="D535" s="130">
        <f t="shared" si="223"/>
        <v>9073.24</v>
      </c>
      <c r="E535" s="130"/>
      <c r="F535" s="115"/>
      <c r="G535" s="115"/>
      <c r="H535" s="130">
        <f t="shared" si="224"/>
        <v>164.96800000000002</v>
      </c>
      <c r="I535" s="130"/>
      <c r="J535" s="130">
        <f t="shared" si="225"/>
        <v>1196.018</v>
      </c>
      <c r="K535" s="130"/>
      <c r="L535" s="130"/>
      <c r="M535" s="130">
        <f t="shared" si="226"/>
        <v>2103.342</v>
      </c>
      <c r="N535" s="130"/>
      <c r="O535" s="130"/>
      <c r="P535" s="114">
        <f t="shared" si="222"/>
        <v>12537.568</v>
      </c>
      <c r="Q535" s="126"/>
      <c r="R535" s="130">
        <f t="shared" si="227"/>
        <v>141177.77024</v>
      </c>
      <c r="S535" s="115"/>
    </row>
    <row r="536" spans="1:19" ht="12.75">
      <c r="A536" s="13">
        <v>6</v>
      </c>
      <c r="B536" s="130">
        <f>P174+B535</f>
        <v>515385.60000000003</v>
      </c>
      <c r="C536" s="115"/>
      <c r="D536" s="130">
        <f t="shared" si="223"/>
        <v>11216.708799999997</v>
      </c>
      <c r="E536" s="130"/>
      <c r="F536" s="130"/>
      <c r="G536" s="130"/>
      <c r="H536" s="130">
        <f t="shared" si="224"/>
        <v>203.94015999999993</v>
      </c>
      <c r="I536" s="130"/>
      <c r="J536" s="130">
        <f t="shared" si="225"/>
        <v>1478.5661599999994</v>
      </c>
      <c r="K536" s="130"/>
      <c r="L536" s="130"/>
      <c r="M536" s="130">
        <f t="shared" si="226"/>
        <v>2600.237039999999</v>
      </c>
      <c r="N536" s="130"/>
      <c r="O536" s="130"/>
      <c r="P536" s="114">
        <f t="shared" si="222"/>
        <v>15499.452159999995</v>
      </c>
      <c r="Q536" s="126"/>
      <c r="R536" s="130">
        <f t="shared" si="227"/>
        <v>156677.2224</v>
      </c>
      <c r="S536" s="115"/>
    </row>
    <row r="537" spans="1:19" ht="12.75">
      <c r="A537" s="13">
        <v>7</v>
      </c>
      <c r="B537" s="130">
        <f>Q174+B536</f>
        <v>563934.88</v>
      </c>
      <c r="C537" s="115"/>
      <c r="D537" s="130">
        <f t="shared" si="223"/>
        <v>10680.841599999994</v>
      </c>
      <c r="E537" s="130"/>
      <c r="F537" s="130"/>
      <c r="G537" s="130"/>
      <c r="H537" s="130">
        <f t="shared" si="224"/>
        <v>194.1971199999999</v>
      </c>
      <c r="I537" s="130"/>
      <c r="J537" s="130">
        <f t="shared" si="225"/>
        <v>1407.929119999999</v>
      </c>
      <c r="K537" s="130"/>
      <c r="L537" s="130"/>
      <c r="M537" s="130">
        <f t="shared" si="226"/>
        <v>2476.0132799999983</v>
      </c>
      <c r="N537" s="130"/>
      <c r="O537" s="130"/>
      <c r="P537" s="114">
        <f t="shared" si="222"/>
        <v>14758.981119999991</v>
      </c>
      <c r="Q537" s="126"/>
      <c r="R537" s="130">
        <f t="shared" si="227"/>
        <v>171436.20351999998</v>
      </c>
      <c r="S537" s="115"/>
    </row>
    <row r="538" spans="1:19" ht="13.5" thickBot="1">
      <c r="A538" s="18">
        <v>8</v>
      </c>
      <c r="B538" s="144">
        <f>R174+B537</f>
        <v>631970.24</v>
      </c>
      <c r="C538" s="145"/>
      <c r="D538" s="130">
        <f t="shared" si="223"/>
        <v>14967.779199999997</v>
      </c>
      <c r="E538" s="130"/>
      <c r="F538" s="144"/>
      <c r="G538" s="144"/>
      <c r="H538" s="130">
        <f t="shared" si="224"/>
        <v>272.14144</v>
      </c>
      <c r="I538" s="130"/>
      <c r="J538" s="130">
        <f t="shared" si="225"/>
        <v>1973.0254399999997</v>
      </c>
      <c r="K538" s="130"/>
      <c r="L538" s="130"/>
      <c r="M538" s="130">
        <f t="shared" si="226"/>
        <v>3469.8033599999994</v>
      </c>
      <c r="N538" s="130"/>
      <c r="O538" s="130"/>
      <c r="P538" s="142">
        <f t="shared" si="222"/>
        <v>20682.749439999996</v>
      </c>
      <c r="Q538" s="143"/>
      <c r="R538" s="144">
        <f t="shared" si="227"/>
        <v>192118.95295999997</v>
      </c>
      <c r="S538" s="145"/>
    </row>
    <row r="539" spans="1:19" ht="13.5" thickBot="1">
      <c r="A539" s="134" t="s">
        <v>102</v>
      </c>
      <c r="B539" s="135"/>
      <c r="C539" s="135"/>
      <c r="D539" s="135"/>
      <c r="E539" s="135"/>
      <c r="F539" s="135"/>
      <c r="G539" s="135"/>
      <c r="H539" s="135"/>
      <c r="I539" s="135"/>
      <c r="J539" s="135"/>
      <c r="K539" s="135"/>
      <c r="L539" s="135"/>
      <c r="M539" s="135"/>
      <c r="N539" s="135"/>
      <c r="O539" s="135"/>
      <c r="P539" s="135"/>
      <c r="Q539" s="135"/>
      <c r="R539" s="135"/>
      <c r="S539" s="136"/>
    </row>
    <row r="540" spans="1:19" ht="12.75">
      <c r="A540" s="17">
        <v>9</v>
      </c>
      <c r="B540" s="132">
        <f>G182+B538</f>
        <v>692698.32</v>
      </c>
      <c r="C540" s="133"/>
      <c r="D540" s="130">
        <f>(B540-B538)/100*22</f>
        <v>13360.17759999999</v>
      </c>
      <c r="E540" s="130"/>
      <c r="F540" s="133"/>
      <c r="G540" s="133"/>
      <c r="H540" s="130">
        <f>(B540-B538)/100*0.4</f>
        <v>242.91231999999982</v>
      </c>
      <c r="I540" s="130"/>
      <c r="J540" s="130">
        <f>(B540-B538)/100*2.9</f>
        <v>1761.1143199999985</v>
      </c>
      <c r="K540" s="130"/>
      <c r="L540" s="130"/>
      <c r="M540" s="130">
        <f>(B540-B538)/100*5.1</f>
        <v>3097.1320799999976</v>
      </c>
      <c r="N540" s="130"/>
      <c r="O540" s="130"/>
      <c r="P540" s="137">
        <f>M540+J540+H540+D540</f>
        <v>18461.336319999988</v>
      </c>
      <c r="Q540" s="138"/>
      <c r="R540" s="132">
        <f>R538+P540</f>
        <v>210580.28927999997</v>
      </c>
      <c r="S540" s="133"/>
    </row>
    <row r="541" spans="1:19" ht="12.75">
      <c r="A541" s="13">
        <v>10</v>
      </c>
      <c r="B541" s="130">
        <f>H182+B540</f>
        <v>777784</v>
      </c>
      <c r="C541" s="115"/>
      <c r="D541" s="130">
        <f>(B541-B540)/100*22</f>
        <v>18718.84960000001</v>
      </c>
      <c r="E541" s="130"/>
      <c r="F541" s="115"/>
      <c r="G541" s="115"/>
      <c r="H541" s="130">
        <f>(B541-B540)/100*0.4</f>
        <v>340.3427200000002</v>
      </c>
      <c r="I541" s="130"/>
      <c r="J541" s="130">
        <f>(B541-B540)/100*2.9</f>
        <v>2467.4847200000013</v>
      </c>
      <c r="K541" s="130"/>
      <c r="L541" s="130"/>
      <c r="M541" s="130">
        <f>(B541-B540)/100*5.1</f>
        <v>4339.3696800000025</v>
      </c>
      <c r="N541" s="130"/>
      <c r="O541" s="130"/>
      <c r="P541" s="114">
        <f>M541+J541+H541+D541</f>
        <v>25866.046720000013</v>
      </c>
      <c r="Q541" s="126"/>
      <c r="R541" s="130">
        <f>R540+P541</f>
        <v>236446.33599999998</v>
      </c>
      <c r="S541" s="115"/>
    </row>
    <row r="542" spans="1:19" ht="12.75">
      <c r="A542" s="13">
        <v>11</v>
      </c>
      <c r="B542" s="130">
        <f>I182+B541</f>
        <v>875048.48</v>
      </c>
      <c r="C542" s="115"/>
      <c r="D542" s="130">
        <f>(B542-B541)/100*22</f>
        <v>21398.185599999997</v>
      </c>
      <c r="E542" s="130"/>
      <c r="F542" s="130"/>
      <c r="G542" s="130"/>
      <c r="H542" s="130">
        <f>(B542-B541)/100*0.4</f>
        <v>389.05791999999997</v>
      </c>
      <c r="I542" s="130"/>
      <c r="J542" s="130">
        <f>(B542-B541)/100*2.9</f>
        <v>2820.6699199999994</v>
      </c>
      <c r="K542" s="130"/>
      <c r="L542" s="130"/>
      <c r="M542" s="130">
        <f>(B542-B541)/100*5.1</f>
        <v>4960.488479999999</v>
      </c>
      <c r="N542" s="130"/>
      <c r="O542" s="130"/>
      <c r="P542" s="114">
        <f>M542+J542+H542+D542</f>
        <v>29568.401919999997</v>
      </c>
      <c r="Q542" s="126"/>
      <c r="R542" s="130">
        <f>R541+P542</f>
        <v>266014.73792</v>
      </c>
      <c r="S542" s="115"/>
    </row>
    <row r="543" spans="1:19" ht="13.5" thickBot="1">
      <c r="A543" s="13">
        <v>12</v>
      </c>
      <c r="B543" s="130">
        <f>J182+B542</f>
        <v>989363.28</v>
      </c>
      <c r="C543" s="115"/>
      <c r="D543" s="130">
        <f>(B543-B542)/100*22</f>
        <v>25149.25600000001</v>
      </c>
      <c r="E543" s="130"/>
      <c r="F543" s="130"/>
      <c r="G543" s="130"/>
      <c r="H543" s="130">
        <f>(B543-B542)/100*0.4</f>
        <v>457.2592000000002</v>
      </c>
      <c r="I543" s="130"/>
      <c r="J543" s="130">
        <f>(912000-B542)/100*2.9</f>
        <v>1071.5940800000005</v>
      </c>
      <c r="K543" s="130"/>
      <c r="L543" s="130"/>
      <c r="M543" s="130">
        <f>(B543-B542)/100*5.1</f>
        <v>5830.054800000002</v>
      </c>
      <c r="N543" s="130"/>
      <c r="O543" s="130"/>
      <c r="P543" s="114">
        <f>M543+J543+H543+D543</f>
        <v>32508.16408000001</v>
      </c>
      <c r="Q543" s="126"/>
      <c r="R543" s="130">
        <f>R542+P543</f>
        <v>298522.902</v>
      </c>
      <c r="S543" s="115"/>
    </row>
    <row r="544" spans="1:19" ht="13.5" thickBot="1">
      <c r="A544" s="134" t="s">
        <v>90</v>
      </c>
      <c r="B544" s="135"/>
      <c r="C544" s="135"/>
      <c r="D544" s="135"/>
      <c r="E544" s="135"/>
      <c r="F544" s="135"/>
      <c r="G544" s="135"/>
      <c r="H544" s="135"/>
      <c r="I544" s="135"/>
      <c r="J544" s="135"/>
      <c r="K544" s="135"/>
      <c r="L544" s="135"/>
      <c r="M544" s="135"/>
      <c r="N544" s="135"/>
      <c r="O544" s="135"/>
      <c r="P544" s="135"/>
      <c r="Q544" s="135"/>
      <c r="R544" s="135"/>
      <c r="S544" s="136"/>
    </row>
    <row r="545" spans="1:19" ht="12.75">
      <c r="A545" s="17">
        <v>1</v>
      </c>
      <c r="B545" s="132">
        <f>K182</f>
        <v>114314.8</v>
      </c>
      <c r="C545" s="133"/>
      <c r="D545" s="132">
        <f>B545/100*22</f>
        <v>25149.256</v>
      </c>
      <c r="E545" s="132"/>
      <c r="F545" s="133"/>
      <c r="G545" s="133"/>
      <c r="H545" s="132">
        <f>B545/100*0.4</f>
        <v>457.2592000000001</v>
      </c>
      <c r="I545" s="132"/>
      <c r="J545" s="132">
        <f>B545/100*2.9</f>
        <v>3315.1292000000003</v>
      </c>
      <c r="K545" s="132"/>
      <c r="L545" s="132"/>
      <c r="M545" s="132">
        <f>B545/100*5.1</f>
        <v>5830.0548</v>
      </c>
      <c r="N545" s="132"/>
      <c r="O545" s="132"/>
      <c r="P545" s="137">
        <f aca="true" t="shared" si="228" ref="P545:P552">M545+J545+H545+D545</f>
        <v>34751.6992</v>
      </c>
      <c r="Q545" s="138"/>
      <c r="R545" s="132">
        <f>P545</f>
        <v>34751.6992</v>
      </c>
      <c r="S545" s="133"/>
    </row>
    <row r="546" spans="1:19" ht="12.75">
      <c r="A546" s="13">
        <v>2</v>
      </c>
      <c r="B546" s="130">
        <f>L182+B545</f>
        <v>228629.6</v>
      </c>
      <c r="C546" s="115"/>
      <c r="D546" s="130">
        <f aca="true" t="shared" si="229" ref="D546:D552">(B546-B545)/100*22</f>
        <v>25149.256</v>
      </c>
      <c r="E546" s="130"/>
      <c r="F546" s="115"/>
      <c r="G546" s="115"/>
      <c r="H546" s="130">
        <f aca="true" t="shared" si="230" ref="H546:H552">(B546-B545)/100*0.4</f>
        <v>457.2592000000001</v>
      </c>
      <c r="I546" s="130"/>
      <c r="J546" s="130">
        <f aca="true" t="shared" si="231" ref="J546:J552">(B546-B545)/100*2.9</f>
        <v>3315.1292000000003</v>
      </c>
      <c r="K546" s="130"/>
      <c r="L546" s="130"/>
      <c r="M546" s="130">
        <f aca="true" t="shared" si="232" ref="M546:M552">(B546-B545)/100*5.1</f>
        <v>5830.0548</v>
      </c>
      <c r="N546" s="130"/>
      <c r="O546" s="130"/>
      <c r="P546" s="114">
        <f t="shared" si="228"/>
        <v>34751.6992</v>
      </c>
      <c r="Q546" s="126"/>
      <c r="R546" s="130">
        <f aca="true" t="shared" si="233" ref="R546:R552">R545+P546</f>
        <v>69503.3984</v>
      </c>
      <c r="S546" s="115"/>
    </row>
    <row r="547" spans="1:19" ht="12.75">
      <c r="A547" s="13">
        <v>3</v>
      </c>
      <c r="B547" s="130">
        <f>M182+B546</f>
        <v>325894.08</v>
      </c>
      <c r="C547" s="115"/>
      <c r="D547" s="130">
        <f t="shared" si="229"/>
        <v>21398.185600000004</v>
      </c>
      <c r="E547" s="130"/>
      <c r="F547" s="115"/>
      <c r="G547" s="115"/>
      <c r="H547" s="130">
        <f t="shared" si="230"/>
        <v>389.0579200000001</v>
      </c>
      <c r="I547" s="130"/>
      <c r="J547" s="130">
        <f t="shared" si="231"/>
        <v>2820.6699200000003</v>
      </c>
      <c r="K547" s="130"/>
      <c r="L547" s="130"/>
      <c r="M547" s="130">
        <f t="shared" si="232"/>
        <v>4960.48848</v>
      </c>
      <c r="N547" s="130"/>
      <c r="O547" s="130"/>
      <c r="P547" s="114">
        <f t="shared" si="228"/>
        <v>29568.401920000004</v>
      </c>
      <c r="Q547" s="126"/>
      <c r="R547" s="130">
        <f t="shared" si="233"/>
        <v>99071.80032000001</v>
      </c>
      <c r="S547" s="115"/>
    </row>
    <row r="548" spans="1:19" ht="12.75">
      <c r="A548" s="13">
        <v>4</v>
      </c>
      <c r="B548" s="130">
        <f>N182+B547</f>
        <v>423158.56000000006</v>
      </c>
      <c r="C548" s="115"/>
      <c r="D548" s="130">
        <f t="shared" si="229"/>
        <v>21398.185600000008</v>
      </c>
      <c r="E548" s="130"/>
      <c r="F548" s="115"/>
      <c r="G548" s="115"/>
      <c r="H548" s="130">
        <f t="shared" si="230"/>
        <v>389.0579200000002</v>
      </c>
      <c r="I548" s="130"/>
      <c r="J548" s="130">
        <f t="shared" si="231"/>
        <v>2820.669920000001</v>
      </c>
      <c r="K548" s="130"/>
      <c r="L548" s="130"/>
      <c r="M548" s="130">
        <f t="shared" si="232"/>
        <v>4960.488480000002</v>
      </c>
      <c r="N548" s="130"/>
      <c r="O548" s="130"/>
      <c r="P548" s="114">
        <f t="shared" si="228"/>
        <v>29568.40192000001</v>
      </c>
      <c r="Q548" s="126"/>
      <c r="R548" s="130">
        <f t="shared" si="233"/>
        <v>128640.20224000001</v>
      </c>
      <c r="S548" s="115"/>
    </row>
    <row r="549" spans="1:19" ht="12.75">
      <c r="A549" s="13">
        <v>5</v>
      </c>
      <c r="B549" s="130">
        <f>O182+B548</f>
        <v>464400.56000000006</v>
      </c>
      <c r="C549" s="115"/>
      <c r="D549" s="130">
        <f t="shared" si="229"/>
        <v>9073.24</v>
      </c>
      <c r="E549" s="130"/>
      <c r="F549" s="115"/>
      <c r="G549" s="115"/>
      <c r="H549" s="130">
        <f t="shared" si="230"/>
        <v>164.96800000000002</v>
      </c>
      <c r="I549" s="130"/>
      <c r="J549" s="130">
        <f t="shared" si="231"/>
        <v>1196.018</v>
      </c>
      <c r="K549" s="130"/>
      <c r="L549" s="130"/>
      <c r="M549" s="130">
        <f t="shared" si="232"/>
        <v>2103.342</v>
      </c>
      <c r="N549" s="130"/>
      <c r="O549" s="130"/>
      <c r="P549" s="114">
        <f t="shared" si="228"/>
        <v>12537.568</v>
      </c>
      <c r="Q549" s="126"/>
      <c r="R549" s="130">
        <f t="shared" si="233"/>
        <v>141177.77024</v>
      </c>
      <c r="S549" s="115"/>
    </row>
    <row r="550" spans="1:19" ht="12.75">
      <c r="A550" s="13">
        <v>6</v>
      </c>
      <c r="B550" s="130">
        <f>P182+B549</f>
        <v>515385.60000000003</v>
      </c>
      <c r="C550" s="115"/>
      <c r="D550" s="130">
        <f t="shared" si="229"/>
        <v>11216.708799999997</v>
      </c>
      <c r="E550" s="130"/>
      <c r="F550" s="130"/>
      <c r="G550" s="130"/>
      <c r="H550" s="130">
        <f t="shared" si="230"/>
        <v>203.94015999999993</v>
      </c>
      <c r="I550" s="130"/>
      <c r="J550" s="130">
        <f t="shared" si="231"/>
        <v>1478.5661599999994</v>
      </c>
      <c r="K550" s="130"/>
      <c r="L550" s="130"/>
      <c r="M550" s="130">
        <f t="shared" si="232"/>
        <v>2600.237039999999</v>
      </c>
      <c r="N550" s="130"/>
      <c r="O550" s="130"/>
      <c r="P550" s="114">
        <f t="shared" si="228"/>
        <v>15499.452159999995</v>
      </c>
      <c r="Q550" s="126"/>
      <c r="R550" s="130">
        <f t="shared" si="233"/>
        <v>156677.2224</v>
      </c>
      <c r="S550" s="115"/>
    </row>
    <row r="551" spans="1:19" ht="12.75">
      <c r="A551" s="13">
        <v>7</v>
      </c>
      <c r="B551" s="130">
        <f>Q182+B550</f>
        <v>566370.64</v>
      </c>
      <c r="C551" s="115"/>
      <c r="D551" s="130">
        <f t="shared" si="229"/>
        <v>11216.708799999997</v>
      </c>
      <c r="E551" s="130"/>
      <c r="F551" s="130"/>
      <c r="G551" s="130"/>
      <c r="H551" s="130">
        <f t="shared" si="230"/>
        <v>203.94015999999993</v>
      </c>
      <c r="I551" s="130"/>
      <c r="J551" s="130">
        <f t="shared" si="231"/>
        <v>1478.5661599999994</v>
      </c>
      <c r="K551" s="130"/>
      <c r="L551" s="130"/>
      <c r="M551" s="130">
        <f t="shared" si="232"/>
        <v>2600.237039999999</v>
      </c>
      <c r="N551" s="130"/>
      <c r="O551" s="130"/>
      <c r="P551" s="114">
        <f t="shared" si="228"/>
        <v>15499.452159999995</v>
      </c>
      <c r="Q551" s="126"/>
      <c r="R551" s="130">
        <f t="shared" si="233"/>
        <v>172176.67455999998</v>
      </c>
      <c r="S551" s="115"/>
    </row>
    <row r="552" spans="1:19" ht="13.5" thickBot="1">
      <c r="A552" s="18">
        <v>8</v>
      </c>
      <c r="B552" s="144">
        <f>R182+B551</f>
        <v>631970.24</v>
      </c>
      <c r="C552" s="145"/>
      <c r="D552" s="130">
        <f t="shared" si="229"/>
        <v>14431.911999999995</v>
      </c>
      <c r="E552" s="130"/>
      <c r="F552" s="144"/>
      <c r="G552" s="144"/>
      <c r="H552" s="130">
        <f t="shared" si="230"/>
        <v>262.3983999999999</v>
      </c>
      <c r="I552" s="130"/>
      <c r="J552" s="130">
        <f t="shared" si="231"/>
        <v>1902.3883999999991</v>
      </c>
      <c r="K552" s="130"/>
      <c r="L552" s="130"/>
      <c r="M552" s="130">
        <f t="shared" si="232"/>
        <v>3345.5795999999987</v>
      </c>
      <c r="N552" s="130"/>
      <c r="O552" s="130"/>
      <c r="P552" s="142">
        <f t="shared" si="228"/>
        <v>19942.278399999992</v>
      </c>
      <c r="Q552" s="143"/>
      <c r="R552" s="144">
        <f t="shared" si="233"/>
        <v>192118.95295999997</v>
      </c>
      <c r="S552" s="145"/>
    </row>
    <row r="553" spans="1:19" ht="13.5" thickBot="1">
      <c r="A553" s="134" t="s">
        <v>103</v>
      </c>
      <c r="B553" s="135"/>
      <c r="C553" s="135"/>
      <c r="D553" s="135"/>
      <c r="E553" s="135"/>
      <c r="F553" s="135"/>
      <c r="G553" s="135"/>
      <c r="H553" s="135"/>
      <c r="I553" s="135"/>
      <c r="J553" s="135"/>
      <c r="K553" s="135"/>
      <c r="L553" s="135"/>
      <c r="M553" s="135"/>
      <c r="N553" s="135"/>
      <c r="O553" s="135"/>
      <c r="P553" s="135"/>
      <c r="Q553" s="135"/>
      <c r="R553" s="135"/>
      <c r="S553" s="136"/>
    </row>
    <row r="554" spans="1:19" ht="12.75">
      <c r="A554" s="17">
        <v>9</v>
      </c>
      <c r="B554" s="132">
        <f>G190+B552</f>
        <v>692698.32</v>
      </c>
      <c r="C554" s="133"/>
      <c r="D554" s="130">
        <f>(B554-B552)/100*22</f>
        <v>13360.17759999999</v>
      </c>
      <c r="E554" s="130"/>
      <c r="F554" s="133"/>
      <c r="G554" s="133"/>
      <c r="H554" s="130">
        <f>(B554-B552)/100*0.4</f>
        <v>242.91231999999982</v>
      </c>
      <c r="I554" s="130"/>
      <c r="J554" s="130">
        <f>(B554-B552)/100*2.9</f>
        <v>1761.1143199999985</v>
      </c>
      <c r="K554" s="130"/>
      <c r="L554" s="130"/>
      <c r="M554" s="130">
        <f>(B554-B552)/100*5.1</f>
        <v>3097.1320799999976</v>
      </c>
      <c r="N554" s="130"/>
      <c r="O554" s="130"/>
      <c r="P554" s="137">
        <f>M554+J554+H554+D554</f>
        <v>18461.336319999988</v>
      </c>
      <c r="Q554" s="138"/>
      <c r="R554" s="132">
        <f>R552+P554</f>
        <v>210580.28927999997</v>
      </c>
      <c r="S554" s="133"/>
    </row>
    <row r="555" spans="1:19" ht="12.75">
      <c r="A555" s="13">
        <v>10</v>
      </c>
      <c r="B555" s="130">
        <f>H190+B554</f>
        <v>777784</v>
      </c>
      <c r="C555" s="115"/>
      <c r="D555" s="130">
        <f>(B555-B554)/100*22</f>
        <v>18718.84960000001</v>
      </c>
      <c r="E555" s="130"/>
      <c r="F555" s="115"/>
      <c r="G555" s="115"/>
      <c r="H555" s="130">
        <f>(B555-B554)/100*0.4</f>
        <v>340.3427200000002</v>
      </c>
      <c r="I555" s="130"/>
      <c r="J555" s="130">
        <f>(B555-B554)/100*2.9</f>
        <v>2467.4847200000013</v>
      </c>
      <c r="K555" s="130"/>
      <c r="L555" s="130"/>
      <c r="M555" s="130">
        <f>(B555-B554)/100*5.1</f>
        <v>4339.3696800000025</v>
      </c>
      <c r="N555" s="130"/>
      <c r="O555" s="130"/>
      <c r="P555" s="114">
        <f>M555+J555+H555+D555</f>
        <v>25866.046720000013</v>
      </c>
      <c r="Q555" s="126"/>
      <c r="R555" s="130">
        <f>R554+P555</f>
        <v>236446.33599999998</v>
      </c>
      <c r="S555" s="115"/>
    </row>
    <row r="556" spans="1:19" ht="12.75">
      <c r="A556" s="13">
        <v>11</v>
      </c>
      <c r="B556" s="130">
        <f>I190+B555</f>
        <v>877484.24</v>
      </c>
      <c r="C556" s="115"/>
      <c r="D556" s="130">
        <f>(B556-B555)/100*22</f>
        <v>21934.052799999998</v>
      </c>
      <c r="E556" s="130"/>
      <c r="F556" s="130"/>
      <c r="G556" s="130"/>
      <c r="H556" s="130">
        <f>(B556-B555)/100*0.4</f>
        <v>398.80096</v>
      </c>
      <c r="I556" s="130"/>
      <c r="J556" s="130">
        <f>(B556-B555)/100*2.9</f>
        <v>2891.3069599999994</v>
      </c>
      <c r="K556" s="130"/>
      <c r="L556" s="130"/>
      <c r="M556" s="130">
        <f>(B556-B555)/100*5.1</f>
        <v>5084.712239999999</v>
      </c>
      <c r="N556" s="130"/>
      <c r="O556" s="130"/>
      <c r="P556" s="114">
        <f>M556+J556+H556+D556</f>
        <v>30308.872959999997</v>
      </c>
      <c r="Q556" s="126"/>
      <c r="R556" s="130">
        <f>R555+P556</f>
        <v>266755.20895999996</v>
      </c>
      <c r="S556" s="115"/>
    </row>
    <row r="557" spans="1:19" ht="13.5" thickBot="1">
      <c r="A557" s="13">
        <v>12</v>
      </c>
      <c r="B557" s="130">
        <f>J190+B556</f>
        <v>991799.04</v>
      </c>
      <c r="C557" s="115"/>
      <c r="D557" s="130">
        <f>(B557-B556)/100*22</f>
        <v>25149.25600000001</v>
      </c>
      <c r="E557" s="130"/>
      <c r="F557" s="130"/>
      <c r="G557" s="130"/>
      <c r="H557" s="130">
        <f>(B557-B556)/100*0.4</f>
        <v>457.2592000000002</v>
      </c>
      <c r="I557" s="130"/>
      <c r="J557" s="130">
        <f>(912000-B556)/100*2.9</f>
        <v>1000.9570400000003</v>
      </c>
      <c r="K557" s="130"/>
      <c r="L557" s="130"/>
      <c r="M557" s="130">
        <f>(B557-B556)/100*5.1</f>
        <v>5830.054800000002</v>
      </c>
      <c r="N557" s="130"/>
      <c r="O557" s="130"/>
      <c r="P557" s="114">
        <f>M557+J557+H557+D557</f>
        <v>32437.52704000001</v>
      </c>
      <c r="Q557" s="126"/>
      <c r="R557" s="130">
        <f>R556+P557</f>
        <v>299192.736</v>
      </c>
      <c r="S557" s="115"/>
    </row>
    <row r="558" spans="1:19" ht="13.5" thickBot="1">
      <c r="A558" s="134" t="s">
        <v>90</v>
      </c>
      <c r="B558" s="135"/>
      <c r="C558" s="135"/>
      <c r="D558" s="135"/>
      <c r="E558" s="135"/>
      <c r="F558" s="135"/>
      <c r="G558" s="135"/>
      <c r="H558" s="135"/>
      <c r="I558" s="135"/>
      <c r="J558" s="135"/>
      <c r="K558" s="135"/>
      <c r="L558" s="135"/>
      <c r="M558" s="135"/>
      <c r="N558" s="135"/>
      <c r="O558" s="135"/>
      <c r="P558" s="135"/>
      <c r="Q558" s="135"/>
      <c r="R558" s="135"/>
      <c r="S558" s="136"/>
    </row>
    <row r="559" spans="1:19" ht="12.75">
      <c r="A559" s="17">
        <v>1</v>
      </c>
      <c r="B559" s="132">
        <f>K190</f>
        <v>114314.8</v>
      </c>
      <c r="C559" s="133"/>
      <c r="D559" s="132">
        <f>B559/100*22</f>
        <v>25149.256</v>
      </c>
      <c r="E559" s="132"/>
      <c r="F559" s="133"/>
      <c r="G559" s="133"/>
      <c r="H559" s="132">
        <f>B559/100*0.4</f>
        <v>457.2592000000001</v>
      </c>
      <c r="I559" s="132"/>
      <c r="J559" s="132">
        <f>B559/100*2.9</f>
        <v>3315.1292000000003</v>
      </c>
      <c r="K559" s="132"/>
      <c r="L559" s="132"/>
      <c r="M559" s="132">
        <f>B559/100*5.1</f>
        <v>5830.0548</v>
      </c>
      <c r="N559" s="132"/>
      <c r="O559" s="132"/>
      <c r="P559" s="137">
        <f aca="true" t="shared" si="234" ref="P559:P566">M559+J559+H559+D559</f>
        <v>34751.6992</v>
      </c>
      <c r="Q559" s="138"/>
      <c r="R559" s="132">
        <f>P559</f>
        <v>34751.6992</v>
      </c>
      <c r="S559" s="133"/>
    </row>
    <row r="560" spans="1:19" ht="12.75">
      <c r="A560" s="13">
        <v>2</v>
      </c>
      <c r="B560" s="130">
        <f>L190+B559</f>
        <v>228629.6</v>
      </c>
      <c r="C560" s="115"/>
      <c r="D560" s="130">
        <f aca="true" t="shared" si="235" ref="D560:D566">(B560-B559)/100*22</f>
        <v>25149.256</v>
      </c>
      <c r="E560" s="130"/>
      <c r="F560" s="115"/>
      <c r="G560" s="115"/>
      <c r="H560" s="130">
        <f aca="true" t="shared" si="236" ref="H560:H566">(B560-B559)/100*0.4</f>
        <v>457.2592000000001</v>
      </c>
      <c r="I560" s="130"/>
      <c r="J560" s="130">
        <f aca="true" t="shared" si="237" ref="J560:J566">(B560-B559)/100*2.9</f>
        <v>3315.1292000000003</v>
      </c>
      <c r="K560" s="130"/>
      <c r="L560" s="130"/>
      <c r="M560" s="130">
        <f aca="true" t="shared" si="238" ref="M560:M566">(B560-B559)/100*5.1</f>
        <v>5830.0548</v>
      </c>
      <c r="N560" s="130"/>
      <c r="O560" s="130"/>
      <c r="P560" s="114">
        <f t="shared" si="234"/>
        <v>34751.6992</v>
      </c>
      <c r="Q560" s="126"/>
      <c r="R560" s="130">
        <f aca="true" t="shared" si="239" ref="R560:R566">R559+P560</f>
        <v>69503.3984</v>
      </c>
      <c r="S560" s="115"/>
    </row>
    <row r="561" spans="1:19" ht="12.75">
      <c r="A561" s="13">
        <v>3</v>
      </c>
      <c r="B561" s="130">
        <f>M190+B560</f>
        <v>323458.32</v>
      </c>
      <c r="C561" s="115"/>
      <c r="D561" s="130">
        <f t="shared" si="235"/>
        <v>20862.3184</v>
      </c>
      <c r="E561" s="130"/>
      <c r="F561" s="115"/>
      <c r="G561" s="115"/>
      <c r="H561" s="130">
        <f t="shared" si="236"/>
        <v>379.31488</v>
      </c>
      <c r="I561" s="130"/>
      <c r="J561" s="130">
        <f t="shared" si="237"/>
        <v>2750.0328799999997</v>
      </c>
      <c r="K561" s="130"/>
      <c r="L561" s="130"/>
      <c r="M561" s="130">
        <f t="shared" si="238"/>
        <v>4836.264719999999</v>
      </c>
      <c r="N561" s="130"/>
      <c r="O561" s="130"/>
      <c r="P561" s="114">
        <f t="shared" si="234"/>
        <v>28827.93088</v>
      </c>
      <c r="Q561" s="126"/>
      <c r="R561" s="130">
        <f t="shared" si="239"/>
        <v>98331.32928</v>
      </c>
      <c r="S561" s="115"/>
    </row>
    <row r="562" spans="1:19" ht="12.75">
      <c r="A562" s="13">
        <v>4</v>
      </c>
      <c r="B562" s="130">
        <f>N190+B561</f>
        <v>420722.80000000005</v>
      </c>
      <c r="C562" s="115"/>
      <c r="D562" s="130">
        <f t="shared" si="235"/>
        <v>21398.185600000008</v>
      </c>
      <c r="E562" s="130"/>
      <c r="F562" s="115"/>
      <c r="G562" s="115"/>
      <c r="H562" s="130">
        <f t="shared" si="236"/>
        <v>389.0579200000002</v>
      </c>
      <c r="I562" s="130"/>
      <c r="J562" s="130">
        <f t="shared" si="237"/>
        <v>2820.669920000001</v>
      </c>
      <c r="K562" s="130"/>
      <c r="L562" s="130"/>
      <c r="M562" s="130">
        <f t="shared" si="238"/>
        <v>4960.488480000002</v>
      </c>
      <c r="N562" s="130"/>
      <c r="O562" s="130"/>
      <c r="P562" s="114">
        <f t="shared" si="234"/>
        <v>29568.40192000001</v>
      </c>
      <c r="Q562" s="126"/>
      <c r="R562" s="130">
        <f t="shared" si="239"/>
        <v>127899.73120000001</v>
      </c>
      <c r="S562" s="115"/>
    </row>
    <row r="563" spans="1:19" ht="12.75">
      <c r="A563" s="13">
        <v>5</v>
      </c>
      <c r="B563" s="130">
        <f>O190+B562</f>
        <v>461964.80000000005</v>
      </c>
      <c r="C563" s="115"/>
      <c r="D563" s="130">
        <f t="shared" si="235"/>
        <v>9073.24</v>
      </c>
      <c r="E563" s="130"/>
      <c r="F563" s="115"/>
      <c r="G563" s="115"/>
      <c r="H563" s="130">
        <f t="shared" si="236"/>
        <v>164.96800000000002</v>
      </c>
      <c r="I563" s="130"/>
      <c r="J563" s="130">
        <f t="shared" si="237"/>
        <v>1196.018</v>
      </c>
      <c r="K563" s="130"/>
      <c r="L563" s="130"/>
      <c r="M563" s="130">
        <f t="shared" si="238"/>
        <v>2103.342</v>
      </c>
      <c r="N563" s="130"/>
      <c r="O563" s="130"/>
      <c r="P563" s="114">
        <f t="shared" si="234"/>
        <v>12537.568</v>
      </c>
      <c r="Q563" s="126"/>
      <c r="R563" s="130">
        <f t="shared" si="239"/>
        <v>140437.2992</v>
      </c>
      <c r="S563" s="115"/>
    </row>
    <row r="564" spans="1:19" ht="12.75">
      <c r="A564" s="13">
        <v>6</v>
      </c>
      <c r="B564" s="130">
        <f>P190+B563</f>
        <v>512949.84</v>
      </c>
      <c r="C564" s="115"/>
      <c r="D564" s="130">
        <f t="shared" si="235"/>
        <v>11216.708799999997</v>
      </c>
      <c r="E564" s="130"/>
      <c r="F564" s="130"/>
      <c r="G564" s="130"/>
      <c r="H564" s="130">
        <f t="shared" si="236"/>
        <v>203.94015999999993</v>
      </c>
      <c r="I564" s="130"/>
      <c r="J564" s="130">
        <f t="shared" si="237"/>
        <v>1478.5661599999994</v>
      </c>
      <c r="K564" s="130"/>
      <c r="L564" s="130"/>
      <c r="M564" s="130">
        <f t="shared" si="238"/>
        <v>2600.237039999999</v>
      </c>
      <c r="N564" s="130"/>
      <c r="O564" s="130"/>
      <c r="P564" s="114">
        <f t="shared" si="234"/>
        <v>15499.452159999995</v>
      </c>
      <c r="Q564" s="126"/>
      <c r="R564" s="130">
        <f t="shared" si="239"/>
        <v>155936.75136</v>
      </c>
      <c r="S564" s="115"/>
    </row>
    <row r="565" spans="1:19" ht="12.75">
      <c r="A565" s="13">
        <v>7</v>
      </c>
      <c r="B565" s="130">
        <f>Q190+B564</f>
        <v>563934.88</v>
      </c>
      <c r="C565" s="115"/>
      <c r="D565" s="130">
        <f t="shared" si="235"/>
        <v>11216.708799999997</v>
      </c>
      <c r="E565" s="130"/>
      <c r="F565" s="130"/>
      <c r="G565" s="130"/>
      <c r="H565" s="130">
        <f t="shared" si="236"/>
        <v>203.94015999999993</v>
      </c>
      <c r="I565" s="130"/>
      <c r="J565" s="130">
        <f t="shared" si="237"/>
        <v>1478.5661599999994</v>
      </c>
      <c r="K565" s="130"/>
      <c r="L565" s="130"/>
      <c r="M565" s="130">
        <f t="shared" si="238"/>
        <v>2600.237039999999</v>
      </c>
      <c r="N565" s="130"/>
      <c r="O565" s="130"/>
      <c r="P565" s="114">
        <f t="shared" si="234"/>
        <v>15499.452159999995</v>
      </c>
      <c r="Q565" s="126"/>
      <c r="R565" s="130">
        <f t="shared" si="239"/>
        <v>171436.20351999998</v>
      </c>
      <c r="S565" s="115"/>
    </row>
    <row r="566" spans="1:19" ht="12.75">
      <c r="A566" s="13">
        <v>8</v>
      </c>
      <c r="B566" s="130">
        <f>R190+B565</f>
        <v>629534.48</v>
      </c>
      <c r="C566" s="115"/>
      <c r="D566" s="130">
        <f t="shared" si="235"/>
        <v>14431.911999999995</v>
      </c>
      <c r="E566" s="130"/>
      <c r="F566" s="130"/>
      <c r="G566" s="130"/>
      <c r="H566" s="130">
        <f t="shared" si="236"/>
        <v>262.3983999999999</v>
      </c>
      <c r="I566" s="130"/>
      <c r="J566" s="130">
        <f t="shared" si="237"/>
        <v>1902.3883999999991</v>
      </c>
      <c r="K566" s="130"/>
      <c r="L566" s="130"/>
      <c r="M566" s="130">
        <f t="shared" si="238"/>
        <v>3345.5795999999987</v>
      </c>
      <c r="N566" s="130"/>
      <c r="O566" s="130"/>
      <c r="P566" s="114">
        <f t="shared" si="234"/>
        <v>19942.278399999992</v>
      </c>
      <c r="Q566" s="126"/>
      <c r="R566" s="130">
        <f t="shared" si="239"/>
        <v>191378.48191999996</v>
      </c>
      <c r="S566" s="115"/>
    </row>
    <row r="567" spans="1:17" ht="18.75">
      <c r="A567" s="131" t="s">
        <v>107</v>
      </c>
      <c r="B567" s="131"/>
      <c r="C567" s="131"/>
      <c r="D567" s="131"/>
      <c r="E567" s="131"/>
      <c r="F567" s="131"/>
      <c r="G567" s="131"/>
      <c r="H567" s="131"/>
      <c r="I567" s="131"/>
      <c r="J567" s="131"/>
      <c r="K567" s="131"/>
      <c r="L567" s="131"/>
      <c r="M567" s="131"/>
      <c r="N567" s="131"/>
      <c r="O567" s="131"/>
      <c r="P567" s="131"/>
      <c r="Q567" s="131"/>
    </row>
    <row r="568" spans="1:17" ht="12.75">
      <c r="A568" s="126" t="s">
        <v>114</v>
      </c>
      <c r="B568" s="126"/>
      <c r="C568" s="126"/>
      <c r="D568" s="126"/>
      <c r="E568" s="126"/>
      <c r="F568" s="126"/>
      <c r="G568" s="126"/>
      <c r="H568" s="126"/>
      <c r="I568" s="126"/>
      <c r="J568" s="126"/>
      <c r="K568" s="126"/>
      <c r="L568" s="126"/>
      <c r="M568" s="126"/>
      <c r="N568" s="126"/>
      <c r="O568" s="126"/>
      <c r="P568" s="126"/>
      <c r="Q568" s="126"/>
    </row>
    <row r="569" spans="1:17" ht="12.75">
      <c r="A569" s="116" t="s">
        <v>115</v>
      </c>
      <c r="B569" s="117"/>
      <c r="C569" s="118"/>
      <c r="D569" s="115" t="s">
        <v>26</v>
      </c>
      <c r="E569" s="115"/>
      <c r="F569" s="115"/>
      <c r="G569" s="115"/>
      <c r="H569" s="115"/>
      <c r="I569" s="115"/>
      <c r="J569" s="115"/>
      <c r="K569" s="115"/>
      <c r="L569" s="115"/>
      <c r="M569" s="115"/>
      <c r="N569" s="115"/>
      <c r="O569" s="115"/>
      <c r="P569" s="122" t="s">
        <v>50</v>
      </c>
      <c r="Q569" s="123"/>
    </row>
    <row r="570" spans="1:17" ht="12.75">
      <c r="A570" s="119"/>
      <c r="B570" s="120"/>
      <c r="C570" s="121"/>
      <c r="D570" s="12">
        <v>44075</v>
      </c>
      <c r="E570" s="12">
        <v>44105</v>
      </c>
      <c r="F570" s="12">
        <v>44136</v>
      </c>
      <c r="G570" s="12">
        <v>44166</v>
      </c>
      <c r="H570" s="12">
        <v>44197</v>
      </c>
      <c r="I570" s="12">
        <v>44228</v>
      </c>
      <c r="J570" s="12">
        <v>44256</v>
      </c>
      <c r="K570" s="12">
        <v>44287</v>
      </c>
      <c r="L570" s="12">
        <v>44317</v>
      </c>
      <c r="M570" s="12">
        <v>44348</v>
      </c>
      <c r="N570" s="12">
        <v>44378</v>
      </c>
      <c r="O570" s="12">
        <v>44409</v>
      </c>
      <c r="P570" s="124"/>
      <c r="Q570" s="125"/>
    </row>
    <row r="571" spans="1:17" ht="12.75">
      <c r="A571" s="115" t="s">
        <v>108</v>
      </c>
      <c r="B571" s="115"/>
      <c r="C571" s="115"/>
      <c r="D571" s="8">
        <f>AO29</f>
        <v>102505.34132</v>
      </c>
      <c r="E571" s="8">
        <f>AO30</f>
        <v>102505.34132</v>
      </c>
      <c r="F571" s="8">
        <f>AO31</f>
        <v>99423.6569</v>
      </c>
      <c r="G571" s="8">
        <f>AO32</f>
        <v>84779.71637999998</v>
      </c>
      <c r="H571" s="8">
        <f>AO29</f>
        <v>102505.34132</v>
      </c>
      <c r="I571" s="8">
        <f>AO30</f>
        <v>102505.34132</v>
      </c>
      <c r="J571" s="8">
        <f>AO31</f>
        <v>99423.6569</v>
      </c>
      <c r="K571" s="8">
        <f>AO32</f>
        <v>84779.71637999998</v>
      </c>
      <c r="L571" s="8">
        <f>AO33</f>
        <v>51931.51398000002</v>
      </c>
      <c r="M571" s="8">
        <f>AO34</f>
        <v>51931.51398000002</v>
      </c>
      <c r="N571" s="8">
        <f>AO35</f>
        <v>51931.51398000002</v>
      </c>
      <c r="O571" s="8">
        <f>AO36</f>
        <v>51931.51398000002</v>
      </c>
      <c r="P571" s="114">
        <f>O571+N571+M571+L571+K571+J571+I571+H571+G571+F571+E571+D571</f>
        <v>986154.1677600001</v>
      </c>
      <c r="Q571" s="114"/>
    </row>
    <row r="572" spans="1:17" ht="12.75">
      <c r="A572" s="126" t="s">
        <v>50</v>
      </c>
      <c r="B572" s="126"/>
      <c r="C572" s="126"/>
      <c r="D572" s="9">
        <f aca="true" t="shared" si="240" ref="D572:O572">D571</f>
        <v>102505.34132</v>
      </c>
      <c r="E572" s="9">
        <f t="shared" si="240"/>
        <v>102505.34132</v>
      </c>
      <c r="F572" s="14">
        <f t="shared" si="240"/>
        <v>99423.6569</v>
      </c>
      <c r="G572" s="14">
        <f t="shared" si="240"/>
        <v>84779.71637999998</v>
      </c>
      <c r="H572" s="14">
        <f t="shared" si="240"/>
        <v>102505.34132</v>
      </c>
      <c r="I572" s="14">
        <f t="shared" si="240"/>
        <v>102505.34132</v>
      </c>
      <c r="J572" s="14">
        <f t="shared" si="240"/>
        <v>99423.6569</v>
      </c>
      <c r="K572" s="14">
        <f t="shared" si="240"/>
        <v>84779.71637999998</v>
      </c>
      <c r="L572" s="14">
        <f t="shared" si="240"/>
        <v>51931.51398000002</v>
      </c>
      <c r="M572" s="14">
        <f t="shared" si="240"/>
        <v>51931.51398000002</v>
      </c>
      <c r="N572" s="14">
        <f t="shared" si="240"/>
        <v>51931.51398000002</v>
      </c>
      <c r="O572" s="14">
        <f t="shared" si="240"/>
        <v>51931.51398000002</v>
      </c>
      <c r="P572" s="114">
        <f>O572+N572+M572+L572+K572+J572+I572+H572+G572+F572+E572+D572</f>
        <v>986154.1677600001</v>
      </c>
      <c r="Q572" s="114"/>
    </row>
    <row r="573" spans="1:17" ht="12.75">
      <c r="A573" s="127" t="s">
        <v>116</v>
      </c>
      <c r="B573" s="128"/>
      <c r="C573" s="128"/>
      <c r="D573" s="128"/>
      <c r="E573" s="128"/>
      <c r="F573" s="128"/>
      <c r="G573" s="128"/>
      <c r="H573" s="128"/>
      <c r="I573" s="128"/>
      <c r="J573" s="128"/>
      <c r="K573" s="128"/>
      <c r="L573" s="128"/>
      <c r="M573" s="128"/>
      <c r="N573" s="128"/>
      <c r="O573" s="128"/>
      <c r="P573" s="128"/>
      <c r="Q573" s="129"/>
    </row>
    <row r="574" spans="1:17" ht="12.75">
      <c r="A574" s="116" t="s">
        <v>115</v>
      </c>
      <c r="B574" s="117"/>
      <c r="C574" s="118"/>
      <c r="D574" s="115" t="s">
        <v>26</v>
      </c>
      <c r="E574" s="115"/>
      <c r="F574" s="115"/>
      <c r="G574" s="115"/>
      <c r="H574" s="115"/>
      <c r="I574" s="115"/>
      <c r="J574" s="115"/>
      <c r="K574" s="115"/>
      <c r="L574" s="115"/>
      <c r="M574" s="115"/>
      <c r="N574" s="115"/>
      <c r="O574" s="115"/>
      <c r="P574" s="122" t="s">
        <v>58</v>
      </c>
      <c r="Q574" s="123"/>
    </row>
    <row r="575" spans="1:17" ht="12.75">
      <c r="A575" s="119"/>
      <c r="B575" s="120"/>
      <c r="C575" s="121"/>
      <c r="D575" s="12">
        <v>44440</v>
      </c>
      <c r="E575" s="12">
        <v>44470</v>
      </c>
      <c r="F575" s="12">
        <v>44501</v>
      </c>
      <c r="G575" s="12">
        <v>44531</v>
      </c>
      <c r="H575" s="12">
        <v>44562</v>
      </c>
      <c r="I575" s="12">
        <v>44593</v>
      </c>
      <c r="J575" s="12">
        <v>44621</v>
      </c>
      <c r="K575" s="12">
        <v>44652</v>
      </c>
      <c r="L575" s="12">
        <v>44682</v>
      </c>
      <c r="M575" s="12">
        <v>44713</v>
      </c>
      <c r="N575" s="12">
        <v>44743</v>
      </c>
      <c r="O575" s="12">
        <v>44774</v>
      </c>
      <c r="P575" s="124"/>
      <c r="Q575" s="125"/>
    </row>
    <row r="576" spans="1:17" ht="12.75">
      <c r="A576" s="115" t="s">
        <v>108</v>
      </c>
      <c r="B576" s="115"/>
      <c r="C576" s="115"/>
      <c r="D576" s="8">
        <f>AO37</f>
        <v>51931.51398000002</v>
      </c>
      <c r="E576" s="8">
        <f>AO38</f>
        <v>51931.51398000002</v>
      </c>
      <c r="F576" s="8">
        <f>AO39</f>
        <v>51931.51398000002</v>
      </c>
      <c r="G576" s="8">
        <f>AO40</f>
        <v>51931.51398000002</v>
      </c>
      <c r="H576" s="8">
        <f>AO29</f>
        <v>102505.34132</v>
      </c>
      <c r="I576" s="8">
        <f>AO30</f>
        <v>102505.34132</v>
      </c>
      <c r="J576" s="8">
        <f>AO31</f>
        <v>99423.6569</v>
      </c>
      <c r="K576" s="8">
        <f>AO32</f>
        <v>84779.71637999998</v>
      </c>
      <c r="L576" s="8">
        <f>AO33</f>
        <v>51931.51398000002</v>
      </c>
      <c r="M576" s="8">
        <f>AO34</f>
        <v>51931.51398000002</v>
      </c>
      <c r="N576" s="8">
        <f>AO35</f>
        <v>51931.51398000002</v>
      </c>
      <c r="O576" s="8">
        <f>AO36</f>
        <v>51931.51398000002</v>
      </c>
      <c r="P576" s="114">
        <f aca="true" t="shared" si="241" ref="P576:P581">O576+N576+M576+L576+K576+J576+I576+H576+G576+F576+E576+D576</f>
        <v>804666.1677600003</v>
      </c>
      <c r="Q576" s="114"/>
    </row>
    <row r="577" spans="1:17" ht="12.75">
      <c r="A577" s="115" t="s">
        <v>109</v>
      </c>
      <c r="B577" s="115"/>
      <c r="C577" s="115"/>
      <c r="D577" s="8">
        <f>AO44</f>
        <v>45834.70912</v>
      </c>
      <c r="E577" s="8">
        <f>AO45</f>
        <v>45834.70912</v>
      </c>
      <c r="F577" s="8">
        <f>AO46</f>
        <v>45834.70912</v>
      </c>
      <c r="G577" s="8">
        <f>AO47</f>
        <v>45834.70912</v>
      </c>
      <c r="H577" s="8">
        <f>AO44</f>
        <v>45834.70912</v>
      </c>
      <c r="I577" s="8">
        <f>AO45</f>
        <v>45834.70912</v>
      </c>
      <c r="J577" s="8">
        <f>AO46</f>
        <v>45834.70912</v>
      </c>
      <c r="K577" s="8">
        <f>AO47</f>
        <v>45834.70912</v>
      </c>
      <c r="L577" s="8">
        <f>AO48</f>
        <v>45834.709120000014</v>
      </c>
      <c r="M577" s="8">
        <f>AO49</f>
        <v>45834.709120000014</v>
      </c>
      <c r="N577" s="8">
        <f>AO50</f>
        <v>41473.28544000001</v>
      </c>
      <c r="O577" s="8">
        <f>AO51</f>
        <v>58557.17727999997</v>
      </c>
      <c r="P577" s="114">
        <f t="shared" si="241"/>
        <v>558377.5539200001</v>
      </c>
      <c r="Q577" s="114"/>
    </row>
    <row r="578" spans="1:17" ht="12.75">
      <c r="A578" s="115" t="s">
        <v>110</v>
      </c>
      <c r="B578" s="115"/>
      <c r="C578" s="115"/>
      <c r="D578" s="8">
        <f>AO44</f>
        <v>45834.70912</v>
      </c>
      <c r="E578" s="8">
        <f>AO45</f>
        <v>45834.70912</v>
      </c>
      <c r="F578" s="8">
        <f>AO46</f>
        <v>45834.70912</v>
      </c>
      <c r="G578" s="8">
        <f>AO47</f>
        <v>45834.70912</v>
      </c>
      <c r="H578" s="8">
        <f>AO44</f>
        <v>45834.70912</v>
      </c>
      <c r="I578" s="8">
        <f>AO45</f>
        <v>45834.70912</v>
      </c>
      <c r="J578" s="8">
        <f>AO46</f>
        <v>45834.70912</v>
      </c>
      <c r="K578" s="8">
        <f>AO47</f>
        <v>45834.70912</v>
      </c>
      <c r="L578" s="8">
        <f>AO48</f>
        <v>45834.709120000014</v>
      </c>
      <c r="M578" s="8">
        <f>AO49</f>
        <v>45834.709120000014</v>
      </c>
      <c r="N578" s="8">
        <f>AO50</f>
        <v>41473.28544000001</v>
      </c>
      <c r="O578" s="8">
        <f>AO51</f>
        <v>58557.17727999997</v>
      </c>
      <c r="P578" s="114">
        <f t="shared" si="241"/>
        <v>558377.5539200001</v>
      </c>
      <c r="Q578" s="114"/>
    </row>
    <row r="579" spans="1:17" ht="12.75">
      <c r="A579" s="115" t="s">
        <v>117</v>
      </c>
      <c r="B579" s="115"/>
      <c r="C579" s="115"/>
      <c r="D579" s="8">
        <f>AO59*2</f>
        <v>45336.50576</v>
      </c>
      <c r="E579" s="8">
        <f>AO60*2</f>
        <v>45336.50576</v>
      </c>
      <c r="F579" s="8">
        <f>AO61*2</f>
        <v>45336.50576</v>
      </c>
      <c r="G579" s="8">
        <f>AO62*2</f>
        <v>45336.50576</v>
      </c>
      <c r="H579" s="8">
        <f>AO59*2</f>
        <v>45336.50576</v>
      </c>
      <c r="I579" s="8">
        <f>AO60*2</f>
        <v>45336.50576</v>
      </c>
      <c r="J579" s="8">
        <f>AO61*2</f>
        <v>45336.50576</v>
      </c>
      <c r="K579" s="8">
        <f>AO62*2</f>
        <v>45336.50576</v>
      </c>
      <c r="L579" s="8">
        <f>AO63*2</f>
        <v>45336.50576</v>
      </c>
      <c r="M579" s="8">
        <f>AO64*2</f>
        <v>45336.50576</v>
      </c>
      <c r="N579" s="8">
        <f>AO65*2</f>
        <v>45336.505760000044</v>
      </c>
      <c r="O579" s="8">
        <f>AO66*2</f>
        <v>45336.50575999997</v>
      </c>
      <c r="P579" s="114">
        <f t="shared" si="241"/>
        <v>544038.0691199999</v>
      </c>
      <c r="Q579" s="114"/>
    </row>
    <row r="580" spans="1:17" ht="12.75">
      <c r="A580" s="115" t="s">
        <v>118</v>
      </c>
      <c r="B580" s="115"/>
      <c r="C580" s="115"/>
      <c r="D580" s="8">
        <f>AO74*2</f>
        <v>39607.16712</v>
      </c>
      <c r="E580" s="8">
        <f>AO75*2</f>
        <v>39607.16712</v>
      </c>
      <c r="F580" s="8">
        <f>AO76*2</f>
        <v>39607.16712</v>
      </c>
      <c r="G580" s="8">
        <f>AO77*2</f>
        <v>39607.16712</v>
      </c>
      <c r="H580" s="8">
        <f>AO74*2</f>
        <v>39607.16712</v>
      </c>
      <c r="I580" s="8">
        <f>AO75*2</f>
        <v>39607.16712</v>
      </c>
      <c r="J580" s="8">
        <f>AO76*2</f>
        <v>39607.16712</v>
      </c>
      <c r="K580" s="8">
        <f>AO77*2</f>
        <v>39607.16712</v>
      </c>
      <c r="L580" s="8">
        <f>AO78*2</f>
        <v>39607.16712000002</v>
      </c>
      <c r="M580" s="8">
        <f>AO79*2</f>
        <v>39607.16712000002</v>
      </c>
      <c r="N580" s="8">
        <f>AO80*2</f>
        <v>39607.16712000002</v>
      </c>
      <c r="O580" s="8">
        <f>AO81*2</f>
        <v>39607.16712000002</v>
      </c>
      <c r="P580" s="114">
        <f t="shared" si="241"/>
        <v>475286.0054400001</v>
      </c>
      <c r="Q580" s="114"/>
    </row>
    <row r="581" spans="1:17" ht="12.75">
      <c r="A581" s="126" t="s">
        <v>50</v>
      </c>
      <c r="B581" s="126"/>
      <c r="C581" s="126"/>
      <c r="D581" s="9">
        <f aca="true" t="shared" si="242" ref="D581:O581">D580+D579+D578+D577+D576</f>
        <v>228544.60510000002</v>
      </c>
      <c r="E581" s="9">
        <f t="shared" si="242"/>
        <v>228544.60510000002</v>
      </c>
      <c r="F581" s="9">
        <f t="shared" si="242"/>
        <v>228544.60510000002</v>
      </c>
      <c r="G581" s="9">
        <f t="shared" si="242"/>
        <v>228544.60510000002</v>
      </c>
      <c r="H581" s="9">
        <f t="shared" si="242"/>
        <v>279118.43244</v>
      </c>
      <c r="I581" s="9">
        <f t="shared" si="242"/>
        <v>279118.43244</v>
      </c>
      <c r="J581" s="9">
        <f t="shared" si="242"/>
        <v>276036.74802</v>
      </c>
      <c r="K581" s="9">
        <f t="shared" si="242"/>
        <v>261392.8075</v>
      </c>
      <c r="L581" s="9">
        <f t="shared" si="242"/>
        <v>228544.60510000007</v>
      </c>
      <c r="M581" s="9">
        <f t="shared" si="242"/>
        <v>228544.60510000007</v>
      </c>
      <c r="N581" s="9">
        <f t="shared" si="242"/>
        <v>219821.7577400001</v>
      </c>
      <c r="O581" s="9">
        <f t="shared" si="242"/>
        <v>253989.54141999997</v>
      </c>
      <c r="P581" s="114">
        <f t="shared" si="241"/>
        <v>2940745.3501599994</v>
      </c>
      <c r="Q581" s="114"/>
    </row>
    <row r="582" spans="1:17" ht="12.75">
      <c r="A582" s="127" t="s">
        <v>119</v>
      </c>
      <c r="B582" s="128"/>
      <c r="C582" s="128"/>
      <c r="D582" s="128"/>
      <c r="E582" s="128"/>
      <c r="F582" s="128"/>
      <c r="G582" s="128"/>
      <c r="H582" s="128"/>
      <c r="I582" s="128"/>
      <c r="J582" s="128"/>
      <c r="K582" s="128"/>
      <c r="L582" s="128"/>
      <c r="M582" s="128"/>
      <c r="N582" s="128"/>
      <c r="O582" s="128"/>
      <c r="P582" s="128"/>
      <c r="Q582" s="129"/>
    </row>
    <row r="583" spans="1:17" ht="12.75">
      <c r="A583" s="116" t="s">
        <v>115</v>
      </c>
      <c r="B583" s="117"/>
      <c r="C583" s="118"/>
      <c r="D583" s="115" t="s">
        <v>26</v>
      </c>
      <c r="E583" s="115"/>
      <c r="F583" s="115"/>
      <c r="G583" s="115"/>
      <c r="H583" s="115"/>
      <c r="I583" s="115"/>
      <c r="J583" s="115"/>
      <c r="K583" s="115"/>
      <c r="L583" s="115"/>
      <c r="M583" s="115"/>
      <c r="N583" s="115"/>
      <c r="O583" s="115"/>
      <c r="P583" s="122" t="s">
        <v>58</v>
      </c>
      <c r="Q583" s="123"/>
    </row>
    <row r="584" spans="1:17" ht="12.75">
      <c r="A584" s="119"/>
      <c r="B584" s="120"/>
      <c r="C584" s="121"/>
      <c r="D584" s="12">
        <v>44805</v>
      </c>
      <c r="E584" s="12">
        <v>44835</v>
      </c>
      <c r="F584" s="12">
        <v>44866</v>
      </c>
      <c r="G584" s="12">
        <v>44896</v>
      </c>
      <c r="H584" s="12">
        <v>44927</v>
      </c>
      <c r="I584" s="12">
        <v>44958</v>
      </c>
      <c r="J584" s="12">
        <v>44986</v>
      </c>
      <c r="K584" s="12">
        <v>45017</v>
      </c>
      <c r="L584" s="12">
        <v>45047</v>
      </c>
      <c r="M584" s="12">
        <v>45078</v>
      </c>
      <c r="N584" s="12">
        <v>45108</v>
      </c>
      <c r="O584" s="12">
        <v>45139</v>
      </c>
      <c r="P584" s="124"/>
      <c r="Q584" s="125"/>
    </row>
    <row r="585" spans="1:17" ht="12.75">
      <c r="A585" s="115" t="s">
        <v>108</v>
      </c>
      <c r="B585" s="115"/>
      <c r="C585" s="115"/>
      <c r="D585" s="8">
        <f>AO37</f>
        <v>51931.51398000002</v>
      </c>
      <c r="E585" s="8">
        <f>AO38</f>
        <v>51931.51398000002</v>
      </c>
      <c r="F585" s="8">
        <f>AO39</f>
        <v>51931.51398000002</v>
      </c>
      <c r="G585" s="8">
        <f>AO40</f>
        <v>51931.51398000002</v>
      </c>
      <c r="H585" s="8">
        <f>AO29</f>
        <v>102505.34132</v>
      </c>
      <c r="I585" s="8">
        <f>AO30</f>
        <v>102505.34132</v>
      </c>
      <c r="J585" s="8">
        <f>AO31</f>
        <v>99423.6569</v>
      </c>
      <c r="K585" s="8">
        <f>AO32</f>
        <v>84779.71637999998</v>
      </c>
      <c r="L585" s="8">
        <f>AO33</f>
        <v>51931.51398000002</v>
      </c>
      <c r="M585" s="8">
        <f>AO34</f>
        <v>51931.51398000002</v>
      </c>
      <c r="N585" s="8">
        <f>AO35</f>
        <v>51931.51398000002</v>
      </c>
      <c r="O585" s="8">
        <f>AO36</f>
        <v>51931.51398000002</v>
      </c>
      <c r="P585" s="114">
        <f aca="true" t="shared" si="243" ref="P585:P593">O585+N585+M585+L585+K585+J585+I585+H585+G585+F585+E585+D585</f>
        <v>804666.1677600003</v>
      </c>
      <c r="Q585" s="114"/>
    </row>
    <row r="586" spans="1:17" ht="12.75">
      <c r="A586" s="115" t="s">
        <v>109</v>
      </c>
      <c r="B586" s="115"/>
      <c r="C586" s="115"/>
      <c r="D586" s="8">
        <f>AO52</f>
        <v>32561.15807999998</v>
      </c>
      <c r="E586" s="8">
        <f>AO53</f>
        <v>23220.895680000005</v>
      </c>
      <c r="F586" s="8">
        <f>AO54</f>
        <v>23220.895680000005</v>
      </c>
      <c r="G586" s="8">
        <f>AO55</f>
        <v>23220.895680000005</v>
      </c>
      <c r="H586" s="8">
        <f>AO44</f>
        <v>45834.70912</v>
      </c>
      <c r="I586" s="8">
        <f>AO45</f>
        <v>45834.70912</v>
      </c>
      <c r="J586" s="8">
        <f>AO46</f>
        <v>45834.70912</v>
      </c>
      <c r="K586" s="8">
        <f>AO47</f>
        <v>45834.70912</v>
      </c>
      <c r="L586" s="8">
        <f>AO48</f>
        <v>45834.709120000014</v>
      </c>
      <c r="M586" s="8">
        <f>AO49</f>
        <v>45834.709120000014</v>
      </c>
      <c r="N586" s="8">
        <f>AO50</f>
        <v>41473.28544000001</v>
      </c>
      <c r="O586" s="8">
        <f>AO51</f>
        <v>58557.17727999997</v>
      </c>
      <c r="P586" s="114">
        <f t="shared" si="243"/>
        <v>477262.56256000005</v>
      </c>
      <c r="Q586" s="114"/>
    </row>
    <row r="587" spans="1:17" ht="12.75">
      <c r="A587" s="115" t="s">
        <v>110</v>
      </c>
      <c r="B587" s="115"/>
      <c r="C587" s="115"/>
      <c r="D587" s="8">
        <f>AO52</f>
        <v>32561.15807999998</v>
      </c>
      <c r="E587" s="8">
        <f>AO53</f>
        <v>23220.895680000005</v>
      </c>
      <c r="F587" s="8">
        <f>AO54</f>
        <v>23220.895680000005</v>
      </c>
      <c r="G587" s="8">
        <f>AO55</f>
        <v>23220.895680000005</v>
      </c>
      <c r="H587" s="8">
        <f>AO44</f>
        <v>45834.70912</v>
      </c>
      <c r="I587" s="8">
        <f>AO45</f>
        <v>45834.70912</v>
      </c>
      <c r="J587" s="8">
        <f>AO46</f>
        <v>45834.70912</v>
      </c>
      <c r="K587" s="8">
        <f>AO47</f>
        <v>45834.70912</v>
      </c>
      <c r="L587" s="8">
        <f>AO48</f>
        <v>45834.709120000014</v>
      </c>
      <c r="M587" s="8">
        <f>AO49</f>
        <v>45834.709120000014</v>
      </c>
      <c r="N587" s="8">
        <f>AO50</f>
        <v>41473.28544000001</v>
      </c>
      <c r="O587" s="8">
        <f>AO51</f>
        <v>58557.17727999997</v>
      </c>
      <c r="P587" s="114">
        <f t="shared" si="243"/>
        <v>477262.56256000005</v>
      </c>
      <c r="Q587" s="114"/>
    </row>
    <row r="588" spans="1:17" ht="12.75">
      <c r="A588" s="115" t="s">
        <v>113</v>
      </c>
      <c r="B588" s="115"/>
      <c r="C588" s="115"/>
      <c r="D588" s="8">
        <f>AO44</f>
        <v>45834.70912</v>
      </c>
      <c r="E588" s="8">
        <f>AO45</f>
        <v>45834.70912</v>
      </c>
      <c r="F588" s="8">
        <f>AO46</f>
        <v>45834.70912</v>
      </c>
      <c r="G588" s="8">
        <f>AO47</f>
        <v>45834.70912</v>
      </c>
      <c r="H588" s="8">
        <f>AO44</f>
        <v>45834.70912</v>
      </c>
      <c r="I588" s="8">
        <f>AO45</f>
        <v>45834.70912</v>
      </c>
      <c r="J588" s="8">
        <f>AO46</f>
        <v>45834.70912</v>
      </c>
      <c r="K588" s="8">
        <f>AO47</f>
        <v>45834.70912</v>
      </c>
      <c r="L588" s="8">
        <f>AO48</f>
        <v>45834.709120000014</v>
      </c>
      <c r="M588" s="8">
        <f>AO49</f>
        <v>45834.709120000014</v>
      </c>
      <c r="N588" s="8">
        <f>AO50</f>
        <v>41473.28544000001</v>
      </c>
      <c r="O588" s="8">
        <f>AO51</f>
        <v>58557.17727999997</v>
      </c>
      <c r="P588" s="114">
        <f t="shared" si="243"/>
        <v>558377.5539200001</v>
      </c>
      <c r="Q588" s="114"/>
    </row>
    <row r="589" spans="1:17" ht="12.75">
      <c r="A589" s="115" t="s">
        <v>120</v>
      </c>
      <c r="B589" s="115"/>
      <c r="C589" s="115"/>
      <c r="D589" s="8">
        <f>P198*2</f>
        <v>51593.883032</v>
      </c>
      <c r="E589" s="8">
        <f>P199*2</f>
        <v>54415.091648</v>
      </c>
      <c r="F589" s="8">
        <f>P200*2</f>
        <v>60057.508880000016</v>
      </c>
      <c r="G589" s="8">
        <f>P201*2</f>
        <v>74163.55196</v>
      </c>
      <c r="H589" s="8">
        <f>P203*2</f>
        <v>88269.59504000001</v>
      </c>
      <c r="I589" s="8">
        <f>P204*2</f>
        <v>71342.34334399998</v>
      </c>
      <c r="J589" s="8">
        <f>P205*2</f>
        <v>54415.091648</v>
      </c>
      <c r="K589" s="8">
        <f>P206*2</f>
        <v>62878.717496000005</v>
      </c>
      <c r="L589" s="8">
        <f>P207*2</f>
        <v>31845.422720000017</v>
      </c>
      <c r="M589" s="8">
        <f>P208*2</f>
        <v>34666.63133599999</v>
      </c>
      <c r="N589" s="8">
        <f>P209*2</f>
        <v>37487.83995200001</v>
      </c>
      <c r="O589" s="8">
        <f>P210*2</f>
        <v>43130.25718399997</v>
      </c>
      <c r="P589" s="114">
        <f t="shared" si="243"/>
        <v>664265.93424</v>
      </c>
      <c r="Q589" s="114"/>
    </row>
    <row r="590" spans="1:17" ht="12.75">
      <c r="A590" s="115" t="s">
        <v>121</v>
      </c>
      <c r="B590" s="115"/>
      <c r="C590" s="115"/>
      <c r="D590" s="8">
        <f>P386*2</f>
        <v>40625.02784</v>
      </c>
      <c r="E590" s="8">
        <f>P387*2</f>
        <v>42846.440959999985</v>
      </c>
      <c r="F590" s="8">
        <f>P388*2</f>
        <v>47289.267199999995</v>
      </c>
      <c r="G590" s="8">
        <f>P389*2</f>
        <v>58396.332800000004</v>
      </c>
      <c r="H590" s="8">
        <f>P391*2</f>
        <v>69503.39839999999</v>
      </c>
      <c r="I590" s="8">
        <f>P392*2</f>
        <v>56174.91968</v>
      </c>
      <c r="J590" s="8">
        <f>P393*2</f>
        <v>56174.91968</v>
      </c>
      <c r="K590" s="8">
        <f>P394*2</f>
        <v>49510.68031999999</v>
      </c>
      <c r="L590" s="8">
        <f>P395*2</f>
        <v>25075.136</v>
      </c>
      <c r="M590" s="8">
        <f>P396*2</f>
        <v>27296.549120000007</v>
      </c>
      <c r="N590" s="8">
        <f>P397*2</f>
        <v>29517.962239999983</v>
      </c>
      <c r="O590" s="8">
        <f>P398*2</f>
        <v>33960.78848000003</v>
      </c>
      <c r="P590" s="114">
        <f t="shared" si="243"/>
        <v>536371.42272</v>
      </c>
      <c r="Q590" s="114"/>
    </row>
    <row r="591" spans="1:17" ht="12.75">
      <c r="A591" s="115" t="s">
        <v>117</v>
      </c>
      <c r="B591" s="115"/>
      <c r="C591" s="115"/>
      <c r="D591" s="8">
        <f>AO67*2</f>
        <v>45336.50575999997</v>
      </c>
      <c r="E591" s="8">
        <f>AO68*2</f>
        <v>45336.50575999997</v>
      </c>
      <c r="F591" s="8">
        <f>AO69*2</f>
        <v>45336.50575999997</v>
      </c>
      <c r="G591" s="8">
        <f>AO70*2</f>
        <v>45336.50575999997</v>
      </c>
      <c r="H591" s="8">
        <f>AO59*2</f>
        <v>45336.50576</v>
      </c>
      <c r="I591" s="8">
        <f>AO60*2</f>
        <v>45336.50576</v>
      </c>
      <c r="J591" s="8">
        <f>AO61*2</f>
        <v>45336.50576</v>
      </c>
      <c r="K591" s="8">
        <f>AO62*2</f>
        <v>45336.50576</v>
      </c>
      <c r="L591" s="8">
        <f>AO63*2</f>
        <v>45336.50576</v>
      </c>
      <c r="M591" s="8">
        <f>AO64*2</f>
        <v>45336.50576</v>
      </c>
      <c r="N591" s="8">
        <f>AO65*2</f>
        <v>45336.505760000044</v>
      </c>
      <c r="O591" s="8">
        <f>AO66*2</f>
        <v>45336.50575999997</v>
      </c>
      <c r="P591" s="114">
        <f t="shared" si="243"/>
        <v>544038.0691199999</v>
      </c>
      <c r="Q591" s="114"/>
    </row>
    <row r="592" spans="1:17" ht="12.75">
      <c r="A592" s="115" t="s">
        <v>118</v>
      </c>
      <c r="B592" s="115"/>
      <c r="C592" s="115"/>
      <c r="D592" s="8">
        <f>AO82*2</f>
        <v>39607.16712000002</v>
      </c>
      <c r="E592" s="8">
        <f>AO83*2</f>
        <v>39607.16712000002</v>
      </c>
      <c r="F592" s="8">
        <f>AO84*2</f>
        <v>39607.16712000002</v>
      </c>
      <c r="G592" s="8">
        <f>AO85*2</f>
        <v>39607.16712000002</v>
      </c>
      <c r="H592" s="8">
        <f>AO74*2</f>
        <v>39607.16712</v>
      </c>
      <c r="I592" s="8">
        <f>AO75*2</f>
        <v>39607.16712</v>
      </c>
      <c r="J592" s="8">
        <f>AO76*2</f>
        <v>39607.16712</v>
      </c>
      <c r="K592" s="8">
        <f>AO77*2</f>
        <v>39607.16712</v>
      </c>
      <c r="L592" s="8">
        <f>AO78*2</f>
        <v>39607.16712000002</v>
      </c>
      <c r="M592" s="8">
        <f>AO79*2</f>
        <v>39607.16712000002</v>
      </c>
      <c r="N592" s="8">
        <f>AO80*2</f>
        <v>39607.16712000002</v>
      </c>
      <c r="O592" s="8">
        <f>AO81*2</f>
        <v>39607.16712000002</v>
      </c>
      <c r="P592" s="114">
        <f t="shared" si="243"/>
        <v>475286.0054400001</v>
      </c>
      <c r="Q592" s="114"/>
    </row>
    <row r="593" spans="1:17" ht="12.75">
      <c r="A593" s="126" t="s">
        <v>50</v>
      </c>
      <c r="B593" s="126"/>
      <c r="C593" s="126"/>
      <c r="D593" s="9">
        <f aca="true" t="shared" si="244" ref="D593:O593">D592+D591+D590+D589+D588+D587+D586+D585</f>
        <v>340051.123012</v>
      </c>
      <c r="E593" s="9">
        <f t="shared" si="244"/>
        <v>326413.21994800004</v>
      </c>
      <c r="F593" s="9">
        <f t="shared" si="244"/>
        <v>336498.46342000004</v>
      </c>
      <c r="G593" s="9">
        <f t="shared" si="244"/>
        <v>361711.5721000001</v>
      </c>
      <c r="H593" s="9">
        <f t="shared" si="244"/>
        <v>482726.135</v>
      </c>
      <c r="I593" s="9">
        <f t="shared" si="244"/>
        <v>452470.404584</v>
      </c>
      <c r="J593" s="9">
        <f t="shared" si="244"/>
        <v>432461.468468</v>
      </c>
      <c r="K593" s="9">
        <f t="shared" si="244"/>
        <v>419616.914436</v>
      </c>
      <c r="L593" s="9">
        <f t="shared" si="244"/>
        <v>331299.87294000015</v>
      </c>
      <c r="M593" s="9">
        <f t="shared" si="244"/>
        <v>336342.4946760001</v>
      </c>
      <c r="N593" s="9">
        <f t="shared" si="244"/>
        <v>328300.8453720001</v>
      </c>
      <c r="O593" s="9">
        <f t="shared" si="244"/>
        <v>389637.76436399994</v>
      </c>
      <c r="P593" s="114">
        <f t="shared" si="243"/>
        <v>4537530.27832</v>
      </c>
      <c r="Q593" s="114"/>
    </row>
    <row r="594" spans="1:17" ht="12.75">
      <c r="A594" s="127" t="s">
        <v>124</v>
      </c>
      <c r="B594" s="128"/>
      <c r="C594" s="128"/>
      <c r="D594" s="128"/>
      <c r="E594" s="128"/>
      <c r="F594" s="128"/>
      <c r="G594" s="128"/>
      <c r="H594" s="128"/>
      <c r="I594" s="128"/>
      <c r="J594" s="128"/>
      <c r="K594" s="128"/>
      <c r="L594" s="128"/>
      <c r="M594" s="128"/>
      <c r="N594" s="128"/>
      <c r="O594" s="128"/>
      <c r="P594" s="128"/>
      <c r="Q594" s="129"/>
    </row>
    <row r="595" spans="1:17" ht="12.75">
      <c r="A595" s="116" t="s">
        <v>115</v>
      </c>
      <c r="B595" s="117"/>
      <c r="C595" s="118"/>
      <c r="D595" s="115" t="s">
        <v>26</v>
      </c>
      <c r="E595" s="115"/>
      <c r="F595" s="115"/>
      <c r="G595" s="115"/>
      <c r="H595" s="115"/>
      <c r="I595" s="115"/>
      <c r="J595" s="115"/>
      <c r="K595" s="115"/>
      <c r="L595" s="115"/>
      <c r="M595" s="115"/>
      <c r="N595" s="115"/>
      <c r="O595" s="115"/>
      <c r="P595" s="122" t="s">
        <v>58</v>
      </c>
      <c r="Q595" s="123"/>
    </row>
    <row r="596" spans="1:17" ht="12.75">
      <c r="A596" s="119"/>
      <c r="B596" s="120"/>
      <c r="C596" s="121"/>
      <c r="D596" s="12">
        <v>45170</v>
      </c>
      <c r="E596" s="12">
        <v>45200</v>
      </c>
      <c r="F596" s="12">
        <v>45231</v>
      </c>
      <c r="G596" s="12">
        <v>45261</v>
      </c>
      <c r="H596" s="12">
        <v>45292</v>
      </c>
      <c r="I596" s="12">
        <v>45323</v>
      </c>
      <c r="J596" s="12">
        <v>45352</v>
      </c>
      <c r="K596" s="12">
        <v>45383</v>
      </c>
      <c r="L596" s="12">
        <v>45413</v>
      </c>
      <c r="M596" s="12">
        <v>45444</v>
      </c>
      <c r="N596" s="12">
        <v>45474</v>
      </c>
      <c r="O596" s="12">
        <v>45505</v>
      </c>
      <c r="P596" s="124"/>
      <c r="Q596" s="125"/>
    </row>
    <row r="597" spans="1:17" ht="12.75">
      <c r="A597" s="115" t="s">
        <v>108</v>
      </c>
      <c r="B597" s="115"/>
      <c r="C597" s="115"/>
      <c r="D597" s="8">
        <f>AO37</f>
        <v>51931.51398000002</v>
      </c>
      <c r="E597" s="8">
        <f>AO38</f>
        <v>51931.51398000002</v>
      </c>
      <c r="F597" s="8">
        <f>AO39</f>
        <v>51931.51398000002</v>
      </c>
      <c r="G597" s="8">
        <f>AO40</f>
        <v>51931.51398000002</v>
      </c>
      <c r="H597" s="8">
        <f>AO29</f>
        <v>102505.34132</v>
      </c>
      <c r="I597" s="8">
        <f>AO30</f>
        <v>102505.34132</v>
      </c>
      <c r="J597" s="8">
        <f>AO31</f>
        <v>99423.6569</v>
      </c>
      <c r="K597" s="8">
        <f>AO32</f>
        <v>84779.71637999998</v>
      </c>
      <c r="L597" s="8">
        <f>AO33</f>
        <v>51931.51398000002</v>
      </c>
      <c r="M597" s="8">
        <f>AO34</f>
        <v>51931.51398000002</v>
      </c>
      <c r="N597" s="8">
        <f>AO35</f>
        <v>51931.51398000002</v>
      </c>
      <c r="O597" s="8">
        <f>AO36</f>
        <v>51931.51398000002</v>
      </c>
      <c r="P597" s="114">
        <f aca="true" t="shared" si="245" ref="P597:P605">O597+N597+M597+L597+K597+J597+I597+H597+G597+F597+E597+D597</f>
        <v>804666.1677600003</v>
      </c>
      <c r="Q597" s="114"/>
    </row>
    <row r="598" spans="1:17" ht="12.75">
      <c r="A598" s="115" t="s">
        <v>109</v>
      </c>
      <c r="B598" s="115"/>
      <c r="C598" s="115"/>
      <c r="D598" s="8">
        <f>AO52</f>
        <v>32561.15807999998</v>
      </c>
      <c r="E598" s="8">
        <f>AO53</f>
        <v>23220.895680000005</v>
      </c>
      <c r="F598" s="8">
        <f>AO54</f>
        <v>23220.895680000005</v>
      </c>
      <c r="G598" s="8">
        <f>AO55</f>
        <v>23220.895680000005</v>
      </c>
      <c r="H598" s="8">
        <f>AO44</f>
        <v>45834.70912</v>
      </c>
      <c r="I598" s="8">
        <f>AO45</f>
        <v>45834.70912</v>
      </c>
      <c r="J598" s="8">
        <f>AO46</f>
        <v>45834.70912</v>
      </c>
      <c r="K598" s="8">
        <f>AO47</f>
        <v>45834.70912</v>
      </c>
      <c r="L598" s="8">
        <f>AO48</f>
        <v>45834.709120000014</v>
      </c>
      <c r="M598" s="8">
        <f>AO49</f>
        <v>45834.709120000014</v>
      </c>
      <c r="N598" s="8">
        <f>AO50</f>
        <v>41473.28544000001</v>
      </c>
      <c r="O598" s="8">
        <f>AO51</f>
        <v>58557.17727999997</v>
      </c>
      <c r="P598" s="114">
        <f t="shared" si="245"/>
        <v>477262.56256000005</v>
      </c>
      <c r="Q598" s="114"/>
    </row>
    <row r="599" spans="1:17" ht="12.75">
      <c r="A599" s="115" t="s">
        <v>110</v>
      </c>
      <c r="B599" s="115"/>
      <c r="C599" s="115"/>
      <c r="D599" s="8">
        <f>AO52</f>
        <v>32561.15807999998</v>
      </c>
      <c r="E599" s="8">
        <f>AO53</f>
        <v>23220.895680000005</v>
      </c>
      <c r="F599" s="8">
        <f>AO54</f>
        <v>23220.895680000005</v>
      </c>
      <c r="G599" s="8">
        <f>AO55</f>
        <v>23220.895680000005</v>
      </c>
      <c r="H599" s="8">
        <f>AO44</f>
        <v>45834.70912</v>
      </c>
      <c r="I599" s="8">
        <f>AO45</f>
        <v>45834.70912</v>
      </c>
      <c r="J599" s="8">
        <f>AO46</f>
        <v>45834.70912</v>
      </c>
      <c r="K599" s="8">
        <f>AO47</f>
        <v>45834.70912</v>
      </c>
      <c r="L599" s="8">
        <f>AO48</f>
        <v>45834.709120000014</v>
      </c>
      <c r="M599" s="8">
        <f>AO49</f>
        <v>45834.709120000014</v>
      </c>
      <c r="N599" s="8">
        <f>AO50</f>
        <v>41473.28544000001</v>
      </c>
      <c r="O599" s="8">
        <f>AO51</f>
        <v>58557.17727999997</v>
      </c>
      <c r="P599" s="114">
        <f t="shared" si="245"/>
        <v>477262.56256000005</v>
      </c>
      <c r="Q599" s="114"/>
    </row>
    <row r="600" spans="1:17" ht="12.75">
      <c r="A600" s="115" t="s">
        <v>113</v>
      </c>
      <c r="B600" s="115"/>
      <c r="C600" s="115"/>
      <c r="D600" s="8">
        <f>AO52</f>
        <v>32561.15807999998</v>
      </c>
      <c r="E600" s="8">
        <f>AO53</f>
        <v>23220.895680000005</v>
      </c>
      <c r="F600" s="8">
        <f>AO54</f>
        <v>23220.895680000005</v>
      </c>
      <c r="G600" s="8">
        <f>AO55</f>
        <v>23220.895680000005</v>
      </c>
      <c r="H600" s="8">
        <f>AO44</f>
        <v>45834.70912</v>
      </c>
      <c r="I600" s="8">
        <f>AO45</f>
        <v>45834.70912</v>
      </c>
      <c r="J600" s="8">
        <f>AO46</f>
        <v>45834.70912</v>
      </c>
      <c r="K600" s="8">
        <f>AO47</f>
        <v>45834.70912</v>
      </c>
      <c r="L600" s="8">
        <f>AO48</f>
        <v>45834.709120000014</v>
      </c>
      <c r="M600" s="8">
        <f>AO49</f>
        <v>45834.709120000014</v>
      </c>
      <c r="N600" s="8">
        <f>AO50</f>
        <v>41473.28544000001</v>
      </c>
      <c r="O600" s="8">
        <f>AO51</f>
        <v>58557.17727999997</v>
      </c>
      <c r="P600" s="114">
        <f t="shared" si="245"/>
        <v>477262.56256000005</v>
      </c>
      <c r="Q600" s="114"/>
    </row>
    <row r="601" spans="1:17" ht="12.75">
      <c r="A601" s="115" t="s">
        <v>122</v>
      </c>
      <c r="B601" s="115"/>
      <c r="C601" s="115"/>
      <c r="D601" s="8">
        <f>P212*2+AI212</f>
        <v>81622.63747199997</v>
      </c>
      <c r="E601" s="8">
        <f>P213*2+AI213</f>
        <v>98549.88916800004</v>
      </c>
      <c r="F601" s="8">
        <f>P214*2+AI214</f>
        <v>109120.06640800001</v>
      </c>
      <c r="G601" s="8">
        <f>P215*2+AI215</f>
        <v>123983.93777000002</v>
      </c>
      <c r="H601" s="8">
        <f>P217*3</f>
        <v>132404.39256</v>
      </c>
      <c r="I601" s="8">
        <f>P218*3</f>
        <v>132404.39256</v>
      </c>
      <c r="J601" s="8">
        <f>P219*3</f>
        <v>109834.72363199998</v>
      </c>
      <c r="K601" s="8">
        <f>P220*3</f>
        <v>112655.932248</v>
      </c>
      <c r="L601" s="8">
        <f>P221*3</f>
        <v>47768.134079999974</v>
      </c>
      <c r="M601" s="8">
        <f>P222*3</f>
        <v>59052.96854400003</v>
      </c>
      <c r="N601" s="8">
        <f>P223*3</f>
        <v>59052.96854400003</v>
      </c>
      <c r="O601" s="8">
        <f>P224*3</f>
        <v>75980.22024000002</v>
      </c>
      <c r="P601" s="114">
        <f t="shared" si="245"/>
        <v>1142430.2632260001</v>
      </c>
      <c r="Q601" s="114"/>
    </row>
    <row r="602" spans="1:17" ht="12.75">
      <c r="A602" s="115" t="s">
        <v>123</v>
      </c>
      <c r="B602" s="115"/>
      <c r="C602" s="115"/>
      <c r="D602" s="8">
        <f>P400*2+AI400</f>
        <v>64269.661439999996</v>
      </c>
      <c r="E602" s="8">
        <f>P401*2+AI401</f>
        <v>83382.46550400002</v>
      </c>
      <c r="F602" s="8">
        <f>P402*2+AI402</f>
        <v>97910.53521599999</v>
      </c>
      <c r="G602" s="8">
        <f>P403*2+AI403</f>
        <v>112438.60492800003</v>
      </c>
      <c r="H602" s="8">
        <f>P405*3</f>
        <v>104255.09760000001</v>
      </c>
      <c r="I602" s="8">
        <f>P406*3</f>
        <v>104255.09760000001</v>
      </c>
      <c r="J602" s="8">
        <f>P407*3</f>
        <v>86483.79264</v>
      </c>
      <c r="K602" s="8">
        <f>P408*3</f>
        <v>88705.20576000004</v>
      </c>
      <c r="L602" s="8">
        <f>P409*3</f>
        <v>37612.704</v>
      </c>
      <c r="M602" s="8">
        <f>P410*3</f>
        <v>46498.35647999999</v>
      </c>
      <c r="N602" s="8">
        <f>P411*3</f>
        <v>46498.35647999999</v>
      </c>
      <c r="O602" s="8">
        <f>P412*3</f>
        <v>59826.83519999997</v>
      </c>
      <c r="P602" s="114">
        <f t="shared" si="245"/>
        <v>932136.7128479998</v>
      </c>
      <c r="Q602" s="114"/>
    </row>
    <row r="603" spans="1:17" ht="12.75">
      <c r="A603" s="115" t="s">
        <v>117</v>
      </c>
      <c r="B603" s="115"/>
      <c r="C603" s="115"/>
      <c r="D603" s="8">
        <f>AO67*2</f>
        <v>45336.50575999997</v>
      </c>
      <c r="E603" s="8">
        <f>AO68*2</f>
        <v>45336.50575999997</v>
      </c>
      <c r="F603" s="8">
        <f>AO69*2</f>
        <v>45336.50575999997</v>
      </c>
      <c r="G603" s="8">
        <f>AO70*2</f>
        <v>45336.50575999997</v>
      </c>
      <c r="H603" s="8">
        <f>AO59*2</f>
        <v>45336.50576</v>
      </c>
      <c r="I603" s="8">
        <f>AO60*2</f>
        <v>45336.50576</v>
      </c>
      <c r="J603" s="8">
        <f>AO61*2</f>
        <v>45336.50576</v>
      </c>
      <c r="K603" s="8">
        <f>AO62*2</f>
        <v>45336.50576</v>
      </c>
      <c r="L603" s="8">
        <f>AO63*2</f>
        <v>45336.50576</v>
      </c>
      <c r="M603" s="8">
        <f>AO64*2</f>
        <v>45336.50576</v>
      </c>
      <c r="N603" s="8">
        <f>AO65*2</f>
        <v>45336.505760000044</v>
      </c>
      <c r="O603" s="8">
        <f>AO66*2</f>
        <v>45336.50575999997</v>
      </c>
      <c r="P603" s="114">
        <f t="shared" si="245"/>
        <v>544038.0691199999</v>
      </c>
      <c r="Q603" s="114"/>
    </row>
    <row r="604" spans="1:17" ht="12.75">
      <c r="A604" s="115" t="s">
        <v>118</v>
      </c>
      <c r="B604" s="115"/>
      <c r="C604" s="115"/>
      <c r="D604" s="8">
        <f>AO82*2</f>
        <v>39607.16712000002</v>
      </c>
      <c r="E604" s="8">
        <f>AO83*2</f>
        <v>39607.16712000002</v>
      </c>
      <c r="F604" s="8">
        <f>AO84*2</f>
        <v>39607.16712000002</v>
      </c>
      <c r="G604" s="8">
        <f>AO85*2</f>
        <v>39607.16712000002</v>
      </c>
      <c r="H604" s="8">
        <f>AO74*2</f>
        <v>39607.16712</v>
      </c>
      <c r="I604" s="8">
        <f>AO75*2</f>
        <v>39607.16712</v>
      </c>
      <c r="J604" s="8">
        <f>AO76*2</f>
        <v>39607.16712</v>
      </c>
      <c r="K604" s="8">
        <f>AO77*2</f>
        <v>39607.16712</v>
      </c>
      <c r="L604" s="8">
        <f>AO78*2</f>
        <v>39607.16712000002</v>
      </c>
      <c r="M604" s="8">
        <f>AO79*2</f>
        <v>39607.16712000002</v>
      </c>
      <c r="N604" s="8">
        <f>AO80*2</f>
        <v>39607.16712000002</v>
      </c>
      <c r="O604" s="8">
        <f>AO81*2</f>
        <v>39607.16712000002</v>
      </c>
      <c r="P604" s="114">
        <f t="shared" si="245"/>
        <v>475286.0054400001</v>
      </c>
      <c r="Q604" s="114"/>
    </row>
    <row r="605" spans="1:17" ht="12.75">
      <c r="A605" s="126" t="s">
        <v>50</v>
      </c>
      <c r="B605" s="126"/>
      <c r="C605" s="126"/>
      <c r="D605" s="9">
        <f aca="true" t="shared" si="246" ref="D605:O605">D604+D603+D602+D601+D600+D599+D598+D597</f>
        <v>380450.96001199994</v>
      </c>
      <c r="E605" s="9">
        <f t="shared" si="246"/>
        <v>388470.22857200017</v>
      </c>
      <c r="F605" s="9">
        <f t="shared" si="246"/>
        <v>413568.475524</v>
      </c>
      <c r="G605" s="9">
        <f t="shared" si="246"/>
        <v>442960.4165980001</v>
      </c>
      <c r="H605" s="9">
        <f t="shared" si="246"/>
        <v>561612.6317200001</v>
      </c>
      <c r="I605" s="9">
        <f t="shared" si="246"/>
        <v>561612.6317200001</v>
      </c>
      <c r="J605" s="9">
        <f t="shared" si="246"/>
        <v>518189.97341200005</v>
      </c>
      <c r="K605" s="9">
        <f t="shared" si="246"/>
        <v>508588.6546280001</v>
      </c>
      <c r="L605" s="9">
        <f t="shared" si="246"/>
        <v>359760.1523000001</v>
      </c>
      <c r="M605" s="9">
        <f t="shared" si="246"/>
        <v>379930.6392440001</v>
      </c>
      <c r="N605" s="9">
        <f t="shared" si="246"/>
        <v>366846.3682040002</v>
      </c>
      <c r="O605" s="9">
        <f t="shared" si="246"/>
        <v>448353.7741399999</v>
      </c>
      <c r="P605" s="114">
        <f t="shared" si="245"/>
        <v>5330344.9060740005</v>
      </c>
      <c r="Q605" s="114"/>
    </row>
    <row r="606" spans="1:17" ht="12.75">
      <c r="A606" s="127" t="s">
        <v>125</v>
      </c>
      <c r="B606" s="128"/>
      <c r="C606" s="128"/>
      <c r="D606" s="128"/>
      <c r="E606" s="128"/>
      <c r="F606" s="128"/>
      <c r="G606" s="128"/>
      <c r="H606" s="128"/>
      <c r="I606" s="128"/>
      <c r="J606" s="128"/>
      <c r="K606" s="128"/>
      <c r="L606" s="128"/>
      <c r="M606" s="128"/>
      <c r="N606" s="128"/>
      <c r="O606" s="128"/>
      <c r="P606" s="128"/>
      <c r="Q606" s="129"/>
    </row>
    <row r="607" spans="1:17" ht="12.75">
      <c r="A607" s="116" t="s">
        <v>115</v>
      </c>
      <c r="B607" s="117"/>
      <c r="C607" s="118"/>
      <c r="D607" s="115" t="s">
        <v>26</v>
      </c>
      <c r="E607" s="115"/>
      <c r="F607" s="115"/>
      <c r="G607" s="115"/>
      <c r="H607" s="115"/>
      <c r="I607" s="115"/>
      <c r="J607" s="115"/>
      <c r="K607" s="115"/>
      <c r="L607" s="115"/>
      <c r="M607" s="115"/>
      <c r="N607" s="115"/>
      <c r="O607" s="115"/>
      <c r="P607" s="122" t="s">
        <v>58</v>
      </c>
      <c r="Q607" s="123"/>
    </row>
    <row r="608" spans="1:17" ht="12.75">
      <c r="A608" s="119"/>
      <c r="B608" s="120"/>
      <c r="C608" s="121"/>
      <c r="D608" s="12">
        <v>45536</v>
      </c>
      <c r="E608" s="12">
        <v>45566</v>
      </c>
      <c r="F608" s="12">
        <v>45597</v>
      </c>
      <c r="G608" s="12">
        <v>45627</v>
      </c>
      <c r="H608" s="12">
        <v>45658</v>
      </c>
      <c r="I608" s="12">
        <v>45689</v>
      </c>
      <c r="J608" s="12">
        <v>45717</v>
      </c>
      <c r="K608" s="12">
        <v>45748</v>
      </c>
      <c r="L608" s="12">
        <v>45778</v>
      </c>
      <c r="M608" s="12">
        <v>45809</v>
      </c>
      <c r="N608" s="12">
        <v>45839</v>
      </c>
      <c r="O608" s="12">
        <v>45870</v>
      </c>
      <c r="P608" s="124"/>
      <c r="Q608" s="125"/>
    </row>
    <row r="609" spans="1:17" ht="12.75">
      <c r="A609" s="115" t="s">
        <v>108</v>
      </c>
      <c r="B609" s="115"/>
      <c r="C609" s="115"/>
      <c r="D609" s="8">
        <f>AO37</f>
        <v>51931.51398000002</v>
      </c>
      <c r="E609" s="8">
        <f>AO38</f>
        <v>51931.51398000002</v>
      </c>
      <c r="F609" s="8">
        <f>AO39</f>
        <v>51931.51398000002</v>
      </c>
      <c r="G609" s="8">
        <f>AO40</f>
        <v>51931.51398000002</v>
      </c>
      <c r="H609" s="8">
        <f>AO29</f>
        <v>102505.34132</v>
      </c>
      <c r="I609" s="8">
        <f>AO30</f>
        <v>102505.34132</v>
      </c>
      <c r="J609" s="8">
        <f>AO31</f>
        <v>99423.6569</v>
      </c>
      <c r="K609" s="8">
        <f>AO32</f>
        <v>84779.71637999998</v>
      </c>
      <c r="L609" s="8">
        <f>AO33</f>
        <v>51931.51398000002</v>
      </c>
      <c r="M609" s="8">
        <f>AO34</f>
        <v>51931.51398000002</v>
      </c>
      <c r="N609" s="8">
        <f>AO35</f>
        <v>51931.51398000002</v>
      </c>
      <c r="O609" s="8">
        <f>AO36</f>
        <v>51931.51398000002</v>
      </c>
      <c r="P609" s="114">
        <f aca="true" t="shared" si="247" ref="P609:P617">O609+N609+M609+L609+K609+J609+I609+H609+G609+F609+E609+D609</f>
        <v>804666.1677600003</v>
      </c>
      <c r="Q609" s="114"/>
    </row>
    <row r="610" spans="1:17" ht="12.75">
      <c r="A610" s="115" t="s">
        <v>109</v>
      </c>
      <c r="B610" s="115"/>
      <c r="C610" s="115"/>
      <c r="D610" s="8">
        <f>AO52</f>
        <v>32561.15807999998</v>
      </c>
      <c r="E610" s="8">
        <f>AO53</f>
        <v>23220.895680000005</v>
      </c>
      <c r="F610" s="8">
        <f>AO54</f>
        <v>23220.895680000005</v>
      </c>
      <c r="G610" s="8">
        <f>AO55</f>
        <v>23220.895680000005</v>
      </c>
      <c r="H610" s="8">
        <f>AO44</f>
        <v>45834.70912</v>
      </c>
      <c r="I610" s="8">
        <f>AO45</f>
        <v>45834.70912</v>
      </c>
      <c r="J610" s="8">
        <f>AO46</f>
        <v>45834.70912</v>
      </c>
      <c r="K610" s="8">
        <f>AO47</f>
        <v>45834.70912</v>
      </c>
      <c r="L610" s="8">
        <f>AO48</f>
        <v>45834.709120000014</v>
      </c>
      <c r="M610" s="8">
        <f>AO49</f>
        <v>45834.709120000014</v>
      </c>
      <c r="N610" s="8">
        <f>AO50</f>
        <v>41473.28544000001</v>
      </c>
      <c r="O610" s="8">
        <f>AO51</f>
        <v>58557.17727999997</v>
      </c>
      <c r="P610" s="114">
        <f t="shared" si="247"/>
        <v>477262.56256000005</v>
      </c>
      <c r="Q610" s="114"/>
    </row>
    <row r="611" spans="1:17" ht="12.75">
      <c r="A611" s="115" t="s">
        <v>110</v>
      </c>
      <c r="B611" s="115"/>
      <c r="C611" s="115"/>
      <c r="D611" s="8">
        <f>AO52</f>
        <v>32561.15807999998</v>
      </c>
      <c r="E611" s="8">
        <f>AO53</f>
        <v>23220.895680000005</v>
      </c>
      <c r="F611" s="8">
        <f>AO54</f>
        <v>23220.895680000005</v>
      </c>
      <c r="G611" s="8">
        <f>AO55</f>
        <v>23220.895680000005</v>
      </c>
      <c r="H611" s="8">
        <f>AO44</f>
        <v>45834.70912</v>
      </c>
      <c r="I611" s="8">
        <f>AO45</f>
        <v>45834.70912</v>
      </c>
      <c r="J611" s="8">
        <f>AO46</f>
        <v>45834.70912</v>
      </c>
      <c r="K611" s="8">
        <f>AO47</f>
        <v>45834.70912</v>
      </c>
      <c r="L611" s="8">
        <f>AO48</f>
        <v>45834.709120000014</v>
      </c>
      <c r="M611" s="8">
        <f>AO49</f>
        <v>45834.709120000014</v>
      </c>
      <c r="N611" s="8">
        <f>AO50</f>
        <v>41473.28544000001</v>
      </c>
      <c r="O611" s="8">
        <f>AO51</f>
        <v>58557.17727999997</v>
      </c>
      <c r="P611" s="114">
        <f t="shared" si="247"/>
        <v>477262.56256000005</v>
      </c>
      <c r="Q611" s="114"/>
    </row>
    <row r="612" spans="1:17" ht="12.75">
      <c r="A612" s="115" t="s">
        <v>113</v>
      </c>
      <c r="B612" s="115"/>
      <c r="C612" s="115"/>
      <c r="D612" s="8">
        <f>AO52</f>
        <v>32561.15807999998</v>
      </c>
      <c r="E612" s="8">
        <f>AO53</f>
        <v>23220.895680000005</v>
      </c>
      <c r="F612" s="8">
        <f>AO54</f>
        <v>23220.895680000005</v>
      </c>
      <c r="G612" s="8">
        <f>AO55</f>
        <v>23220.895680000005</v>
      </c>
      <c r="H612" s="8">
        <f>AO44</f>
        <v>45834.70912</v>
      </c>
      <c r="I612" s="8">
        <f>AO45</f>
        <v>45834.70912</v>
      </c>
      <c r="J612" s="8">
        <f>AO46</f>
        <v>45834.70912</v>
      </c>
      <c r="K612" s="8">
        <f>AO47</f>
        <v>45834.70912</v>
      </c>
      <c r="L612" s="8">
        <f>AO48</f>
        <v>45834.709120000014</v>
      </c>
      <c r="M612" s="8">
        <f>AO49</f>
        <v>45834.709120000014</v>
      </c>
      <c r="N612" s="8">
        <f>AO50</f>
        <v>41473.28544000001</v>
      </c>
      <c r="O612" s="8">
        <f>AO51</f>
        <v>58557.17727999997</v>
      </c>
      <c r="P612" s="114">
        <f t="shared" si="247"/>
        <v>477262.56256000005</v>
      </c>
      <c r="Q612" s="114"/>
    </row>
    <row r="613" spans="1:17" ht="12.75">
      <c r="A613" s="115" t="s">
        <v>122</v>
      </c>
      <c r="B613" s="115"/>
      <c r="C613" s="115"/>
      <c r="D613" s="8">
        <f>P226*3</f>
        <v>70337.80300799999</v>
      </c>
      <c r="E613" s="8">
        <f>P227*3</f>
        <v>92225.46379650003</v>
      </c>
      <c r="F613" s="8">
        <f>P228*3</f>
        <v>104461.22940000001</v>
      </c>
      <c r="G613" s="8">
        <f>P229*3</f>
        <v>119773.71037499991</v>
      </c>
      <c r="H613" s="8">
        <f>P231*3</f>
        <v>132404.39256</v>
      </c>
      <c r="I613" s="8">
        <f>P232*3</f>
        <v>132404.39256</v>
      </c>
      <c r="J613" s="8">
        <f>P233*3</f>
        <v>112655.932248</v>
      </c>
      <c r="K613" s="8">
        <f>P234*3</f>
        <v>112655.932248</v>
      </c>
      <c r="L613" s="8">
        <f>P235*3</f>
        <v>47768.134079999974</v>
      </c>
      <c r="M613" s="8">
        <f>P236*3</f>
        <v>56231.759928000014</v>
      </c>
      <c r="N613" s="8">
        <f>P237*3</f>
        <v>59052.96854400003</v>
      </c>
      <c r="O613" s="8">
        <f>P238*3</f>
        <v>78801.42885600003</v>
      </c>
      <c r="P613" s="114">
        <f t="shared" si="247"/>
        <v>1118773.1476035</v>
      </c>
      <c r="Q613" s="114"/>
    </row>
    <row r="614" spans="1:17" ht="12.75">
      <c r="A614" s="115" t="s">
        <v>123</v>
      </c>
      <c r="B614" s="115"/>
      <c r="C614" s="115"/>
      <c r="D614" s="8">
        <f>P414*3</f>
        <v>55384.00895999996</v>
      </c>
      <c r="E614" s="8">
        <f>P415*3</f>
        <v>77598.14016000004</v>
      </c>
      <c r="F614" s="8">
        <f>P416*3</f>
        <v>90926.61888</v>
      </c>
      <c r="G614" s="8">
        <f>P417*3</f>
        <v>97524.49224000002</v>
      </c>
      <c r="H614" s="8">
        <f>P419*3</f>
        <v>104255.09760000001</v>
      </c>
      <c r="I614" s="8">
        <f>P420*3</f>
        <v>104255.09760000001</v>
      </c>
      <c r="J614" s="8">
        <f>P421*3</f>
        <v>88705.20576000001</v>
      </c>
      <c r="K614" s="8">
        <f>P422*3</f>
        <v>88705.20576000004</v>
      </c>
      <c r="L614" s="8">
        <f>P423*3</f>
        <v>37612.704</v>
      </c>
      <c r="M614" s="8">
        <f>P424*3</f>
        <v>44276.94336000002</v>
      </c>
      <c r="N614" s="8">
        <f>P425*3</f>
        <v>46498.35648000003</v>
      </c>
      <c r="O614" s="8">
        <f>P426*3</f>
        <v>62048.248319999984</v>
      </c>
      <c r="P614" s="114">
        <f t="shared" si="247"/>
        <v>897790.1191200002</v>
      </c>
      <c r="Q614" s="114"/>
    </row>
    <row r="615" spans="1:17" ht="12.75">
      <c r="A615" s="115" t="s">
        <v>117</v>
      </c>
      <c r="B615" s="115"/>
      <c r="C615" s="115"/>
      <c r="D615" s="8">
        <f>AO67*2</f>
        <v>45336.50575999997</v>
      </c>
      <c r="E615" s="8">
        <f>AO68*2</f>
        <v>45336.50575999997</v>
      </c>
      <c r="F615" s="8">
        <f>AO69*2</f>
        <v>45336.50575999997</v>
      </c>
      <c r="G615" s="8">
        <f>AO70*2</f>
        <v>45336.50575999997</v>
      </c>
      <c r="H615" s="8">
        <f>AO59*2</f>
        <v>45336.50576</v>
      </c>
      <c r="I615" s="8">
        <f>AO60*2</f>
        <v>45336.50576</v>
      </c>
      <c r="J615" s="8">
        <f>AO61*2</f>
        <v>45336.50576</v>
      </c>
      <c r="K615" s="8">
        <f>AO62*2</f>
        <v>45336.50576</v>
      </c>
      <c r="L615" s="8">
        <f>AO63*2</f>
        <v>45336.50576</v>
      </c>
      <c r="M615" s="8">
        <f>AO64*2</f>
        <v>45336.50576</v>
      </c>
      <c r="N615" s="8">
        <f>AO65*2</f>
        <v>45336.505760000044</v>
      </c>
      <c r="O615" s="8">
        <f>AO66*2</f>
        <v>45336.50575999997</v>
      </c>
      <c r="P615" s="114">
        <f t="shared" si="247"/>
        <v>544038.0691199999</v>
      </c>
      <c r="Q615" s="114"/>
    </row>
    <row r="616" spans="1:17" ht="12.75">
      <c r="A616" s="115" t="s">
        <v>118</v>
      </c>
      <c r="B616" s="115"/>
      <c r="C616" s="115"/>
      <c r="D616" s="8">
        <f>AO82*2</f>
        <v>39607.16712000002</v>
      </c>
      <c r="E616" s="8">
        <f>AO83*2</f>
        <v>39607.16712000002</v>
      </c>
      <c r="F616" s="8">
        <f>AO84*2</f>
        <v>39607.16712000002</v>
      </c>
      <c r="G616" s="8">
        <f>AO85*2</f>
        <v>39607.16712000002</v>
      </c>
      <c r="H616" s="8">
        <f>AO74*2</f>
        <v>39607.16712</v>
      </c>
      <c r="I616" s="8">
        <f>AO75*2</f>
        <v>39607.16712</v>
      </c>
      <c r="J616" s="8">
        <f>AO76*2</f>
        <v>39607.16712</v>
      </c>
      <c r="K616" s="8">
        <f>AO77*2</f>
        <v>39607.16712</v>
      </c>
      <c r="L616" s="8">
        <f>AO78*2</f>
        <v>39607.16712000002</v>
      </c>
      <c r="M616" s="8">
        <f>AO79*2</f>
        <v>39607.16712000002</v>
      </c>
      <c r="N616" s="8">
        <f>AO80*2</f>
        <v>39607.16712000002</v>
      </c>
      <c r="O616" s="8">
        <f>AO81*2</f>
        <v>39607.16712000002</v>
      </c>
      <c r="P616" s="114">
        <f t="shared" si="247"/>
        <v>475286.0054400001</v>
      </c>
      <c r="Q616" s="114"/>
    </row>
    <row r="617" spans="1:17" ht="12.75">
      <c r="A617" s="126" t="s">
        <v>50</v>
      </c>
      <c r="B617" s="126"/>
      <c r="C617" s="126"/>
      <c r="D617" s="9">
        <f aca="true" t="shared" si="248" ref="D617:O617">D616+D615+D614+D613+D612+D611+D610+D609</f>
        <v>360280.47306799993</v>
      </c>
      <c r="E617" s="9">
        <f t="shared" si="248"/>
        <v>376361.4778565001</v>
      </c>
      <c r="F617" s="9">
        <f t="shared" si="248"/>
        <v>401925.72218000004</v>
      </c>
      <c r="G617" s="9">
        <f t="shared" si="248"/>
        <v>423836.07651499996</v>
      </c>
      <c r="H617" s="9">
        <f t="shared" si="248"/>
        <v>561612.6317200001</v>
      </c>
      <c r="I617" s="9">
        <f t="shared" si="248"/>
        <v>561612.6317200001</v>
      </c>
      <c r="J617" s="9">
        <f t="shared" si="248"/>
        <v>523232.59514800005</v>
      </c>
      <c r="K617" s="9">
        <f t="shared" si="248"/>
        <v>508588.6546280001</v>
      </c>
      <c r="L617" s="9">
        <f t="shared" si="248"/>
        <v>359760.1523000001</v>
      </c>
      <c r="M617" s="9">
        <f t="shared" si="248"/>
        <v>374888.01750800014</v>
      </c>
      <c r="N617" s="9">
        <f t="shared" si="248"/>
        <v>366846.3682040002</v>
      </c>
      <c r="O617" s="9">
        <f t="shared" si="248"/>
        <v>453396.3958759998</v>
      </c>
      <c r="P617" s="114">
        <f t="shared" si="247"/>
        <v>5272341.1967235</v>
      </c>
      <c r="Q617" s="114"/>
    </row>
    <row r="618" spans="1:17" ht="12.75">
      <c r="A618" s="127" t="s">
        <v>126</v>
      </c>
      <c r="B618" s="128"/>
      <c r="C618" s="128"/>
      <c r="D618" s="128"/>
      <c r="E618" s="128"/>
      <c r="F618" s="128"/>
      <c r="G618" s="128"/>
      <c r="H618" s="128"/>
      <c r="I618" s="128"/>
      <c r="J618" s="128"/>
      <c r="K618" s="128"/>
      <c r="L618" s="128"/>
      <c r="M618" s="128"/>
      <c r="N618" s="128"/>
      <c r="O618" s="128"/>
      <c r="P618" s="128"/>
      <c r="Q618" s="129"/>
    </row>
    <row r="619" spans="1:17" ht="12.75">
      <c r="A619" s="116" t="s">
        <v>115</v>
      </c>
      <c r="B619" s="117"/>
      <c r="C619" s="118"/>
      <c r="D619" s="115" t="s">
        <v>26</v>
      </c>
      <c r="E619" s="115"/>
      <c r="F619" s="115"/>
      <c r="G619" s="115"/>
      <c r="H619" s="115"/>
      <c r="I619" s="115"/>
      <c r="J619" s="115"/>
      <c r="K619" s="115"/>
      <c r="L619" s="115"/>
      <c r="M619" s="115"/>
      <c r="N619" s="115"/>
      <c r="O619" s="115"/>
      <c r="P619" s="122" t="s">
        <v>58</v>
      </c>
      <c r="Q619" s="123"/>
    </row>
    <row r="620" spans="1:17" ht="12.75">
      <c r="A620" s="119"/>
      <c r="B620" s="120"/>
      <c r="C620" s="121"/>
      <c r="D620" s="12">
        <v>45901</v>
      </c>
      <c r="E620" s="12">
        <v>45931</v>
      </c>
      <c r="F620" s="12">
        <v>45962</v>
      </c>
      <c r="G620" s="12">
        <v>45992</v>
      </c>
      <c r="H620" s="12">
        <v>46023</v>
      </c>
      <c r="I620" s="12">
        <v>46054</v>
      </c>
      <c r="J620" s="12">
        <v>46082</v>
      </c>
      <c r="K620" s="12">
        <v>46113</v>
      </c>
      <c r="L620" s="12">
        <v>46143</v>
      </c>
      <c r="M620" s="12">
        <v>46174</v>
      </c>
      <c r="N620" s="12">
        <v>46204</v>
      </c>
      <c r="O620" s="12">
        <v>46235</v>
      </c>
      <c r="P620" s="124"/>
      <c r="Q620" s="125"/>
    </row>
    <row r="621" spans="1:17" ht="12.75">
      <c r="A621" s="115" t="s">
        <v>108</v>
      </c>
      <c r="B621" s="115"/>
      <c r="C621" s="115"/>
      <c r="D621" s="8">
        <f>AO37</f>
        <v>51931.51398000002</v>
      </c>
      <c r="E621" s="8">
        <f>AO38</f>
        <v>51931.51398000002</v>
      </c>
      <c r="F621" s="8">
        <f>AO39</f>
        <v>51931.51398000002</v>
      </c>
      <c r="G621" s="8">
        <f>AO40</f>
        <v>51931.51398000002</v>
      </c>
      <c r="H621" s="8">
        <f>AO29</f>
        <v>102505.34132</v>
      </c>
      <c r="I621" s="8">
        <f>AO30</f>
        <v>102505.34132</v>
      </c>
      <c r="J621" s="8">
        <f>AO31</f>
        <v>99423.6569</v>
      </c>
      <c r="K621" s="8">
        <f>AO32</f>
        <v>84779.71637999998</v>
      </c>
      <c r="L621" s="8">
        <f>AO33</f>
        <v>51931.51398000002</v>
      </c>
      <c r="M621" s="8">
        <f>AO34</f>
        <v>51931.51398000002</v>
      </c>
      <c r="N621" s="8">
        <f>AO35</f>
        <v>51931.51398000002</v>
      </c>
      <c r="O621" s="8">
        <f>AO36</f>
        <v>51931.51398000002</v>
      </c>
      <c r="P621" s="114">
        <f aca="true" t="shared" si="249" ref="P621:P629">O621+N621+M621+L621+K621+J621+I621+H621+G621+F621+E621+D621</f>
        <v>804666.1677600003</v>
      </c>
      <c r="Q621" s="114"/>
    </row>
    <row r="622" spans="1:17" ht="12.75">
      <c r="A622" s="115" t="s">
        <v>109</v>
      </c>
      <c r="B622" s="115"/>
      <c r="C622" s="115"/>
      <c r="D622" s="8">
        <f>AO52</f>
        <v>32561.15807999998</v>
      </c>
      <c r="E622" s="8">
        <f>AO52</f>
        <v>32561.15807999998</v>
      </c>
      <c r="F622" s="8">
        <f>AO54</f>
        <v>23220.895680000005</v>
      </c>
      <c r="G622" s="8">
        <f>AO55</f>
        <v>23220.895680000005</v>
      </c>
      <c r="H622" s="8">
        <f>AO44</f>
        <v>45834.70912</v>
      </c>
      <c r="I622" s="8">
        <f>AO45</f>
        <v>45834.70912</v>
      </c>
      <c r="J622" s="8">
        <f>AO46</f>
        <v>45834.70912</v>
      </c>
      <c r="K622" s="8">
        <f>AO47</f>
        <v>45834.70912</v>
      </c>
      <c r="L622" s="8">
        <f>AO48</f>
        <v>45834.709120000014</v>
      </c>
      <c r="M622" s="8">
        <f>AO49</f>
        <v>45834.709120000014</v>
      </c>
      <c r="N622" s="8">
        <f>AO50</f>
        <v>41473.28544000001</v>
      </c>
      <c r="O622" s="8">
        <f>AO51</f>
        <v>58557.17727999997</v>
      </c>
      <c r="P622" s="114">
        <f t="shared" si="249"/>
        <v>486602.82496</v>
      </c>
      <c r="Q622" s="114"/>
    </row>
    <row r="623" spans="1:17" ht="12.75">
      <c r="A623" s="115" t="s">
        <v>110</v>
      </c>
      <c r="B623" s="115"/>
      <c r="C623" s="115"/>
      <c r="D623" s="8">
        <f>AO52</f>
        <v>32561.15807999998</v>
      </c>
      <c r="E623" s="8">
        <f>AO53</f>
        <v>23220.895680000005</v>
      </c>
      <c r="F623" s="8">
        <f>AO54</f>
        <v>23220.895680000005</v>
      </c>
      <c r="G623" s="8">
        <f>AO55</f>
        <v>23220.895680000005</v>
      </c>
      <c r="H623" s="8">
        <f>AO44</f>
        <v>45834.70912</v>
      </c>
      <c r="I623" s="8">
        <f>AO45</f>
        <v>45834.70912</v>
      </c>
      <c r="J623" s="8">
        <f>AO46</f>
        <v>45834.70912</v>
      </c>
      <c r="K623" s="8">
        <f>AO47</f>
        <v>45834.70912</v>
      </c>
      <c r="L623" s="8">
        <f>AO48</f>
        <v>45834.709120000014</v>
      </c>
      <c r="M623" s="8">
        <f>AO49</f>
        <v>45834.709120000014</v>
      </c>
      <c r="N623" s="8">
        <f>AO50</f>
        <v>41473.28544000001</v>
      </c>
      <c r="O623" s="8">
        <f>AO51</f>
        <v>58557.17727999997</v>
      </c>
      <c r="P623" s="114">
        <f t="shared" si="249"/>
        <v>477262.56256000005</v>
      </c>
      <c r="Q623" s="114"/>
    </row>
    <row r="624" spans="1:17" ht="12.75">
      <c r="A624" s="115" t="s">
        <v>113</v>
      </c>
      <c r="B624" s="115"/>
      <c r="C624" s="115"/>
      <c r="D624" s="8">
        <f>AO52</f>
        <v>32561.15807999998</v>
      </c>
      <c r="E624" s="8">
        <f>AO53</f>
        <v>23220.895680000005</v>
      </c>
      <c r="F624" s="8">
        <f>AO54</f>
        <v>23220.895680000005</v>
      </c>
      <c r="G624" s="8">
        <f>AO55</f>
        <v>23220.895680000005</v>
      </c>
      <c r="H624" s="8">
        <f>AO44</f>
        <v>45834.70912</v>
      </c>
      <c r="I624" s="8">
        <f>AO45</f>
        <v>45834.70912</v>
      </c>
      <c r="J624" s="8">
        <f>AO46</f>
        <v>45834.70912</v>
      </c>
      <c r="K624" s="8">
        <f>AO47</f>
        <v>45834.70912</v>
      </c>
      <c r="L624" s="8">
        <f>AO48</f>
        <v>45834.709120000014</v>
      </c>
      <c r="M624" s="8">
        <f>AO49</f>
        <v>45834.709120000014</v>
      </c>
      <c r="N624" s="8">
        <f>AO50</f>
        <v>41473.28544000001</v>
      </c>
      <c r="O624" s="8">
        <f>AO51</f>
        <v>58557.17727999997</v>
      </c>
      <c r="P624" s="114">
        <f t="shared" si="249"/>
        <v>477262.56256000005</v>
      </c>
      <c r="Q624" s="114"/>
    </row>
    <row r="625" spans="1:17" ht="12.75">
      <c r="A625" s="115" t="s">
        <v>122</v>
      </c>
      <c r="B625" s="115"/>
      <c r="C625" s="115"/>
      <c r="D625" s="8">
        <f>P240*3</f>
        <v>67516.59439199997</v>
      </c>
      <c r="E625" s="8">
        <f>P241*3</f>
        <v>92225.46379650003</v>
      </c>
      <c r="F625" s="8">
        <f>P242*3</f>
        <v>104461.22940000001</v>
      </c>
      <c r="G625" s="8">
        <f>P243*3</f>
        <v>119773.71037499991</v>
      </c>
      <c r="H625" s="8">
        <f>P245*3</f>
        <v>132404.39256</v>
      </c>
      <c r="I625" s="8">
        <f>P246*3</f>
        <v>132404.39256</v>
      </c>
      <c r="J625" s="8">
        <f>P247*3</f>
        <v>112655.932248</v>
      </c>
      <c r="K625" s="8">
        <f>P248*3</f>
        <v>112655.932248</v>
      </c>
      <c r="L625" s="8">
        <f>P249*3</f>
        <v>47768.134079999974</v>
      </c>
      <c r="M625" s="8">
        <f>P250*3</f>
        <v>56231.759928000014</v>
      </c>
      <c r="N625" s="8">
        <f>P251*3</f>
        <v>59052.96854400003</v>
      </c>
      <c r="O625" s="8">
        <f>P252*3</f>
        <v>78801.42885600003</v>
      </c>
      <c r="P625" s="114">
        <f t="shared" si="249"/>
        <v>1115951.9389874998</v>
      </c>
      <c r="Q625" s="114"/>
    </row>
    <row r="626" spans="1:17" ht="12.75">
      <c r="A626" s="115" t="s">
        <v>123</v>
      </c>
      <c r="B626" s="115"/>
      <c r="C626" s="115"/>
      <c r="D626" s="8">
        <f>P428*3</f>
        <v>53162.59583999995</v>
      </c>
      <c r="E626" s="8">
        <f>P429*3</f>
        <v>77598.14015999994</v>
      </c>
      <c r="F626" s="8">
        <f>P430*3</f>
        <v>90926.61888</v>
      </c>
      <c r="G626" s="8">
        <f>P431*3</f>
        <v>97524.49224000002</v>
      </c>
      <c r="H626" s="8">
        <f>P433*3</f>
        <v>104255.09760000001</v>
      </c>
      <c r="I626" s="8">
        <f>P434*3</f>
        <v>104255.09760000001</v>
      </c>
      <c r="J626" s="8">
        <f>P435*3</f>
        <v>88705.20576000001</v>
      </c>
      <c r="K626" s="8">
        <f>P436*3</f>
        <v>88705.20576000004</v>
      </c>
      <c r="L626" s="8">
        <f>P437*3</f>
        <v>37612.704</v>
      </c>
      <c r="M626" s="8">
        <f>P438*3</f>
        <v>44276.94336000002</v>
      </c>
      <c r="N626" s="8">
        <f>P439*3</f>
        <v>46498.35648000003</v>
      </c>
      <c r="O626" s="8">
        <f>P440*3</f>
        <v>62048.248319999984</v>
      </c>
      <c r="P626" s="114">
        <f t="shared" si="249"/>
        <v>895568.706</v>
      </c>
      <c r="Q626" s="114"/>
    </row>
    <row r="627" spans="1:17" ht="12.75">
      <c r="A627" s="115" t="s">
        <v>117</v>
      </c>
      <c r="B627" s="115"/>
      <c r="C627" s="115"/>
      <c r="D627" s="8">
        <f>AO67*2</f>
        <v>45336.50575999997</v>
      </c>
      <c r="E627" s="8">
        <f>AO68*2</f>
        <v>45336.50575999997</v>
      </c>
      <c r="F627" s="8">
        <f>AO69*2</f>
        <v>45336.50575999997</v>
      </c>
      <c r="G627" s="8">
        <f>AO70*2</f>
        <v>45336.50575999997</v>
      </c>
      <c r="H627" s="8">
        <f>AO59*2</f>
        <v>45336.50576</v>
      </c>
      <c r="I627" s="8">
        <f>AO60*2</f>
        <v>45336.50576</v>
      </c>
      <c r="J627" s="8">
        <f>AO61*2</f>
        <v>45336.50576</v>
      </c>
      <c r="K627" s="8">
        <f>AO62*2</f>
        <v>45336.50576</v>
      </c>
      <c r="L627" s="8">
        <f>AO63*2</f>
        <v>45336.50576</v>
      </c>
      <c r="M627" s="8">
        <f>AO64*2</f>
        <v>45336.50576</v>
      </c>
      <c r="N627" s="8">
        <f>AO65*2</f>
        <v>45336.505760000044</v>
      </c>
      <c r="O627" s="8">
        <f>AO66*2</f>
        <v>45336.50575999997</v>
      </c>
      <c r="P627" s="114">
        <f t="shared" si="249"/>
        <v>544038.0691199999</v>
      </c>
      <c r="Q627" s="114"/>
    </row>
    <row r="628" spans="1:17" ht="12.75">
      <c r="A628" s="115" t="s">
        <v>118</v>
      </c>
      <c r="B628" s="115"/>
      <c r="C628" s="115"/>
      <c r="D628" s="8">
        <f>AO82*2</f>
        <v>39607.16712000002</v>
      </c>
      <c r="E628" s="8">
        <f>AO83*2</f>
        <v>39607.16712000002</v>
      </c>
      <c r="F628" s="8">
        <f>AO84*2</f>
        <v>39607.16712000002</v>
      </c>
      <c r="G628" s="8">
        <f>AO85*2</f>
        <v>39607.16712000002</v>
      </c>
      <c r="H628" s="8">
        <f>AO74*2</f>
        <v>39607.16712</v>
      </c>
      <c r="I628" s="8">
        <f>AO75*2</f>
        <v>39607.16712</v>
      </c>
      <c r="J628" s="8">
        <f>AO76*2</f>
        <v>39607.16712</v>
      </c>
      <c r="K628" s="8">
        <f>AO77*2</f>
        <v>39607.16712</v>
      </c>
      <c r="L628" s="8">
        <f>AO78*2</f>
        <v>39607.16712000002</v>
      </c>
      <c r="M628" s="8">
        <f>AO79*2</f>
        <v>39607.16712000002</v>
      </c>
      <c r="N628" s="8">
        <f>AO80*2</f>
        <v>39607.16712000002</v>
      </c>
      <c r="O628" s="8">
        <f>AO81*2</f>
        <v>39607.16712000002</v>
      </c>
      <c r="P628" s="114">
        <f t="shared" si="249"/>
        <v>475286.0054400001</v>
      </c>
      <c r="Q628" s="114"/>
    </row>
    <row r="629" spans="1:17" ht="12.75">
      <c r="A629" s="126" t="s">
        <v>50</v>
      </c>
      <c r="B629" s="126"/>
      <c r="C629" s="126"/>
      <c r="D629" s="9">
        <f aca="true" t="shared" si="250" ref="D629:O629">D628+D627+D626+D625+D624+D623+D622+D621</f>
        <v>355237.8513319999</v>
      </c>
      <c r="E629" s="9">
        <f t="shared" si="250"/>
        <v>385701.74025649996</v>
      </c>
      <c r="F629" s="9">
        <f t="shared" si="250"/>
        <v>401925.72218000004</v>
      </c>
      <c r="G629" s="9">
        <f t="shared" si="250"/>
        <v>423836.07651499996</v>
      </c>
      <c r="H629" s="9">
        <f t="shared" si="250"/>
        <v>561612.6317200001</v>
      </c>
      <c r="I629" s="9">
        <f t="shared" si="250"/>
        <v>561612.6317200001</v>
      </c>
      <c r="J629" s="9">
        <f t="shared" si="250"/>
        <v>523232.59514800005</v>
      </c>
      <c r="K629" s="9">
        <f t="shared" si="250"/>
        <v>508588.6546280001</v>
      </c>
      <c r="L629" s="9">
        <f t="shared" si="250"/>
        <v>359760.1523000001</v>
      </c>
      <c r="M629" s="9">
        <f t="shared" si="250"/>
        <v>374888.01750800014</v>
      </c>
      <c r="N629" s="9">
        <f t="shared" si="250"/>
        <v>366846.3682040002</v>
      </c>
      <c r="O629" s="9">
        <f t="shared" si="250"/>
        <v>453396.3958759998</v>
      </c>
      <c r="P629" s="114">
        <f t="shared" si="249"/>
        <v>5276638.8373875</v>
      </c>
      <c r="Q629" s="114"/>
    </row>
    <row r="630" spans="1:17" ht="12.75">
      <c r="A630" s="127" t="s">
        <v>127</v>
      </c>
      <c r="B630" s="128"/>
      <c r="C630" s="128"/>
      <c r="D630" s="128"/>
      <c r="E630" s="128"/>
      <c r="F630" s="128"/>
      <c r="G630" s="128"/>
      <c r="H630" s="128"/>
      <c r="I630" s="128"/>
      <c r="J630" s="128"/>
      <c r="K630" s="128"/>
      <c r="L630" s="128"/>
      <c r="M630" s="128"/>
      <c r="N630" s="128"/>
      <c r="O630" s="128"/>
      <c r="P630" s="128"/>
      <c r="Q630" s="129"/>
    </row>
    <row r="631" spans="1:17" ht="12.75">
      <c r="A631" s="116" t="s">
        <v>115</v>
      </c>
      <c r="B631" s="117"/>
      <c r="C631" s="118"/>
      <c r="D631" s="115" t="s">
        <v>26</v>
      </c>
      <c r="E631" s="115"/>
      <c r="F631" s="115"/>
      <c r="G631" s="115"/>
      <c r="H631" s="115"/>
      <c r="I631" s="115"/>
      <c r="J631" s="115"/>
      <c r="K631" s="115"/>
      <c r="L631" s="115"/>
      <c r="M631" s="115"/>
      <c r="N631" s="115"/>
      <c r="O631" s="115"/>
      <c r="P631" s="122" t="s">
        <v>58</v>
      </c>
      <c r="Q631" s="123"/>
    </row>
    <row r="632" spans="1:17" ht="12.75">
      <c r="A632" s="119"/>
      <c r="B632" s="120"/>
      <c r="C632" s="121"/>
      <c r="D632" s="12">
        <v>46266</v>
      </c>
      <c r="E632" s="12">
        <v>46296</v>
      </c>
      <c r="F632" s="12">
        <v>46327</v>
      </c>
      <c r="G632" s="12">
        <v>46357</v>
      </c>
      <c r="H632" s="12">
        <v>46388</v>
      </c>
      <c r="I632" s="12">
        <v>46419</v>
      </c>
      <c r="J632" s="12">
        <v>46447</v>
      </c>
      <c r="K632" s="12">
        <v>46478</v>
      </c>
      <c r="L632" s="12">
        <v>46508</v>
      </c>
      <c r="M632" s="12">
        <v>46539</v>
      </c>
      <c r="N632" s="12">
        <v>46569</v>
      </c>
      <c r="O632" s="12">
        <v>46600</v>
      </c>
      <c r="P632" s="124"/>
      <c r="Q632" s="125"/>
    </row>
    <row r="633" spans="1:17" ht="12.75">
      <c r="A633" s="115" t="s">
        <v>108</v>
      </c>
      <c r="B633" s="115"/>
      <c r="C633" s="115"/>
      <c r="D633" s="8">
        <f>AO37</f>
        <v>51931.51398000002</v>
      </c>
      <c r="E633" s="8">
        <f>AO38</f>
        <v>51931.51398000002</v>
      </c>
      <c r="F633" s="8">
        <f>AO39</f>
        <v>51931.51398000002</v>
      </c>
      <c r="G633" s="8">
        <f>AO40</f>
        <v>51931.51398000002</v>
      </c>
      <c r="H633" s="8">
        <f>AO29</f>
        <v>102505.34132</v>
      </c>
      <c r="I633" s="8">
        <f>AO30</f>
        <v>102505.34132</v>
      </c>
      <c r="J633" s="8">
        <f>AO31</f>
        <v>99423.6569</v>
      </c>
      <c r="K633" s="8">
        <f>AO32</f>
        <v>84779.71637999998</v>
      </c>
      <c r="L633" s="8">
        <f>AO33</f>
        <v>51931.51398000002</v>
      </c>
      <c r="M633" s="8">
        <f>AO34</f>
        <v>51931.51398000002</v>
      </c>
      <c r="N633" s="8">
        <f>AO35</f>
        <v>51931.51398000002</v>
      </c>
      <c r="O633" s="8">
        <f>AO36</f>
        <v>51931.51398000002</v>
      </c>
      <c r="P633" s="114">
        <f aca="true" t="shared" si="251" ref="P633:P641">O633+N633+M633+L633+K633+J633+I633+H633+G633+F633+E633+D633</f>
        <v>804666.1677600003</v>
      </c>
      <c r="Q633" s="114"/>
    </row>
    <row r="634" spans="1:17" ht="12.75">
      <c r="A634" s="115" t="s">
        <v>109</v>
      </c>
      <c r="B634" s="115"/>
      <c r="C634" s="115"/>
      <c r="D634" s="8">
        <f>AO52</f>
        <v>32561.15807999998</v>
      </c>
      <c r="E634" s="8">
        <f>AO53</f>
        <v>23220.895680000005</v>
      </c>
      <c r="F634" s="8">
        <f>AO54</f>
        <v>23220.895680000005</v>
      </c>
      <c r="G634" s="8">
        <f>AO55</f>
        <v>23220.895680000005</v>
      </c>
      <c r="H634" s="8">
        <f>AO44</f>
        <v>45834.70912</v>
      </c>
      <c r="I634" s="8">
        <f>AO45</f>
        <v>45834.70912</v>
      </c>
      <c r="J634" s="8">
        <f>AO46</f>
        <v>45834.70912</v>
      </c>
      <c r="K634" s="8">
        <f>AO47</f>
        <v>45834.70912</v>
      </c>
      <c r="L634" s="8">
        <f>AO48</f>
        <v>45834.709120000014</v>
      </c>
      <c r="M634" s="8">
        <f>AO49</f>
        <v>45834.709120000014</v>
      </c>
      <c r="N634" s="8">
        <f>AO50</f>
        <v>41473.28544000001</v>
      </c>
      <c r="O634" s="8">
        <f>AO51</f>
        <v>58557.17727999997</v>
      </c>
      <c r="P634" s="114">
        <f t="shared" si="251"/>
        <v>477262.56256000005</v>
      </c>
      <c r="Q634" s="114"/>
    </row>
    <row r="635" spans="1:17" ht="12.75">
      <c r="A635" s="115" t="s">
        <v>110</v>
      </c>
      <c r="B635" s="115"/>
      <c r="C635" s="115"/>
      <c r="D635" s="8">
        <f>AO52</f>
        <v>32561.15807999998</v>
      </c>
      <c r="E635" s="8">
        <f>AO53</f>
        <v>23220.895680000005</v>
      </c>
      <c r="F635" s="8">
        <f>AO54</f>
        <v>23220.895680000005</v>
      </c>
      <c r="G635" s="8">
        <f>AO55</f>
        <v>23220.895680000005</v>
      </c>
      <c r="H635" s="8">
        <f>AO44</f>
        <v>45834.70912</v>
      </c>
      <c r="I635" s="8">
        <f>AO45</f>
        <v>45834.70912</v>
      </c>
      <c r="J635" s="8">
        <f>AO46</f>
        <v>45834.70912</v>
      </c>
      <c r="K635" s="8">
        <f>AO47</f>
        <v>45834.70912</v>
      </c>
      <c r="L635" s="8">
        <f>AO48</f>
        <v>45834.709120000014</v>
      </c>
      <c r="M635" s="8">
        <f>AO49</f>
        <v>45834.709120000014</v>
      </c>
      <c r="N635" s="8">
        <f>AO50</f>
        <v>41473.28544000001</v>
      </c>
      <c r="O635" s="8">
        <f>AO51</f>
        <v>58557.17727999997</v>
      </c>
      <c r="P635" s="114">
        <f t="shared" si="251"/>
        <v>477262.56256000005</v>
      </c>
      <c r="Q635" s="114"/>
    </row>
    <row r="636" spans="1:17" ht="12.75">
      <c r="A636" s="115" t="s">
        <v>113</v>
      </c>
      <c r="B636" s="115"/>
      <c r="C636" s="115"/>
      <c r="D636" s="8">
        <f>AO52</f>
        <v>32561.15807999998</v>
      </c>
      <c r="E636" s="8">
        <f>AO53</f>
        <v>23220.895680000005</v>
      </c>
      <c r="F636" s="8">
        <f>AO54</f>
        <v>23220.895680000005</v>
      </c>
      <c r="G636" s="8">
        <f>AO55</f>
        <v>23220.895680000005</v>
      </c>
      <c r="H636" s="8">
        <f>AO44</f>
        <v>45834.70912</v>
      </c>
      <c r="I636" s="8">
        <f>AO45</f>
        <v>45834.70912</v>
      </c>
      <c r="J636" s="8">
        <f>AO46</f>
        <v>45834.70912</v>
      </c>
      <c r="K636" s="8">
        <f>AO47</f>
        <v>45834.70912</v>
      </c>
      <c r="L636" s="8">
        <f>AO48</f>
        <v>45834.709120000014</v>
      </c>
      <c r="M636" s="8">
        <f>AO49</f>
        <v>45834.709120000014</v>
      </c>
      <c r="N636" s="8">
        <f>AO50</f>
        <v>41473.28544000001</v>
      </c>
      <c r="O636" s="8">
        <f>AO51</f>
        <v>58557.17727999997</v>
      </c>
      <c r="P636" s="114">
        <f t="shared" si="251"/>
        <v>477262.56256000005</v>
      </c>
      <c r="Q636" s="114"/>
    </row>
    <row r="637" spans="1:17" ht="12.75">
      <c r="A637" s="115" t="s">
        <v>122</v>
      </c>
      <c r="B637" s="115"/>
      <c r="C637" s="115"/>
      <c r="D637" s="8">
        <f>P254*3</f>
        <v>70337.80300799999</v>
      </c>
      <c r="E637" s="8">
        <f>P255*3</f>
        <v>89404.25518050001</v>
      </c>
      <c r="F637" s="8">
        <f>P256*3</f>
        <v>104461.22940000001</v>
      </c>
      <c r="G637" s="8">
        <f>P257*3</f>
        <v>119773.71037499991</v>
      </c>
      <c r="H637" s="8">
        <f>P259*3</f>
        <v>132404.39256</v>
      </c>
      <c r="I637" s="8">
        <f>P260*3</f>
        <v>132404.39256</v>
      </c>
      <c r="J637" s="8">
        <f>P261*3</f>
        <v>112655.932248</v>
      </c>
      <c r="K637" s="8">
        <f>P262*3</f>
        <v>112655.932248</v>
      </c>
      <c r="L637" s="8">
        <f>P263*3</f>
        <v>47768.134079999974</v>
      </c>
      <c r="M637" s="8">
        <f>P264*3</f>
        <v>59052.96854400003</v>
      </c>
      <c r="N637" s="8">
        <f>P265*3</f>
        <v>56231.759928000014</v>
      </c>
      <c r="O637" s="8">
        <f>P266*3</f>
        <v>78801.42885600003</v>
      </c>
      <c r="P637" s="114">
        <f t="shared" si="251"/>
        <v>1115951.9389874998</v>
      </c>
      <c r="Q637" s="114"/>
    </row>
    <row r="638" spans="1:17" ht="12.75">
      <c r="A638" s="115" t="s">
        <v>123</v>
      </c>
      <c r="B638" s="115"/>
      <c r="C638" s="115"/>
      <c r="D638" s="8">
        <f>P442*3</f>
        <v>55384.00895999996</v>
      </c>
      <c r="E638" s="8">
        <f>P443*3</f>
        <v>75376.72703999994</v>
      </c>
      <c r="F638" s="8">
        <f>P444*3</f>
        <v>90926.61888</v>
      </c>
      <c r="G638" s="8">
        <f>P445*3</f>
        <v>97524.49224000002</v>
      </c>
      <c r="H638" s="8">
        <f>P447*3</f>
        <v>104255.09760000001</v>
      </c>
      <c r="I638" s="8">
        <f>P448*3</f>
        <v>104255.09760000001</v>
      </c>
      <c r="J638" s="8">
        <f>P449*3</f>
        <v>88705.20576000001</v>
      </c>
      <c r="K638" s="8">
        <f>P450*3</f>
        <v>88705.20576000004</v>
      </c>
      <c r="L638" s="8">
        <f>P451*3</f>
        <v>37612.704</v>
      </c>
      <c r="M638" s="8">
        <f>P452*3</f>
        <v>46498.35647999999</v>
      </c>
      <c r="N638" s="8">
        <f>P453*3</f>
        <v>44276.943359999976</v>
      </c>
      <c r="O638" s="8">
        <f>P454*3</f>
        <v>62048.248319999984</v>
      </c>
      <c r="P638" s="114">
        <f t="shared" si="251"/>
        <v>895568.7059999999</v>
      </c>
      <c r="Q638" s="114"/>
    </row>
    <row r="639" spans="1:17" ht="12.75">
      <c r="A639" s="115" t="s">
        <v>117</v>
      </c>
      <c r="B639" s="115"/>
      <c r="C639" s="115"/>
      <c r="D639" s="8">
        <f>AO67*2</f>
        <v>45336.50575999997</v>
      </c>
      <c r="E639" s="8">
        <f>AO68*2</f>
        <v>45336.50575999997</v>
      </c>
      <c r="F639" s="8">
        <f>AO69*2</f>
        <v>45336.50575999997</v>
      </c>
      <c r="G639" s="8">
        <f>AO70*2</f>
        <v>45336.50575999997</v>
      </c>
      <c r="H639" s="8">
        <f>AO59*2</f>
        <v>45336.50576</v>
      </c>
      <c r="I639" s="8">
        <f>AO60*2</f>
        <v>45336.50576</v>
      </c>
      <c r="J639" s="8">
        <f>AO61*2</f>
        <v>45336.50576</v>
      </c>
      <c r="K639" s="8">
        <f>AO62*2</f>
        <v>45336.50576</v>
      </c>
      <c r="L639" s="8">
        <f>AO63*2</f>
        <v>45336.50576</v>
      </c>
      <c r="M639" s="8">
        <f>AO64*2</f>
        <v>45336.50576</v>
      </c>
      <c r="N639" s="8">
        <f>AO65*2</f>
        <v>45336.505760000044</v>
      </c>
      <c r="O639" s="8">
        <f>AO66*2</f>
        <v>45336.50575999997</v>
      </c>
      <c r="P639" s="114">
        <f t="shared" si="251"/>
        <v>544038.0691199999</v>
      </c>
      <c r="Q639" s="114"/>
    </row>
    <row r="640" spans="1:17" ht="12.75">
      <c r="A640" s="115" t="s">
        <v>118</v>
      </c>
      <c r="B640" s="115"/>
      <c r="C640" s="115"/>
      <c r="D640" s="8">
        <f>AO82*2</f>
        <v>39607.16712000002</v>
      </c>
      <c r="E640" s="8">
        <f>AO83*2</f>
        <v>39607.16712000002</v>
      </c>
      <c r="F640" s="8">
        <f>AO84*2</f>
        <v>39607.16712000002</v>
      </c>
      <c r="G640" s="8">
        <f>AO85*2</f>
        <v>39607.16712000002</v>
      </c>
      <c r="H640" s="8">
        <f>AO74*2</f>
        <v>39607.16712</v>
      </c>
      <c r="I640" s="8">
        <f>AO75*2</f>
        <v>39607.16712</v>
      </c>
      <c r="J640" s="8">
        <f>AO76*2</f>
        <v>39607.16712</v>
      </c>
      <c r="K640" s="8">
        <f>AO77*2</f>
        <v>39607.16712</v>
      </c>
      <c r="L640" s="8">
        <f>AO78*2</f>
        <v>39607.16712000002</v>
      </c>
      <c r="M640" s="8">
        <f>AO79*2</f>
        <v>39607.16712000002</v>
      </c>
      <c r="N640" s="8">
        <f>AO80*2</f>
        <v>39607.16712000002</v>
      </c>
      <c r="O640" s="8">
        <f>AO81*2</f>
        <v>39607.16712000002</v>
      </c>
      <c r="P640" s="114">
        <f t="shared" si="251"/>
        <v>475286.0054400001</v>
      </c>
      <c r="Q640" s="114"/>
    </row>
    <row r="641" spans="1:17" ht="12.75">
      <c r="A641" s="126" t="s">
        <v>50</v>
      </c>
      <c r="B641" s="126"/>
      <c r="C641" s="126"/>
      <c r="D641" s="9">
        <f aca="true" t="shared" si="252" ref="D641:O641">D640+D639+D638+D637+D636+D635+D634+D633</f>
        <v>360280.47306799993</v>
      </c>
      <c r="E641" s="9">
        <f t="shared" si="252"/>
        <v>371318.8561205</v>
      </c>
      <c r="F641" s="9">
        <f t="shared" si="252"/>
        <v>401925.72218000004</v>
      </c>
      <c r="G641" s="9">
        <f t="shared" si="252"/>
        <v>423836.07651499996</v>
      </c>
      <c r="H641" s="9">
        <f t="shared" si="252"/>
        <v>561612.6317200001</v>
      </c>
      <c r="I641" s="9">
        <f t="shared" si="252"/>
        <v>561612.6317200001</v>
      </c>
      <c r="J641" s="9">
        <f t="shared" si="252"/>
        <v>523232.59514800005</v>
      </c>
      <c r="K641" s="9">
        <f t="shared" si="252"/>
        <v>508588.6546280001</v>
      </c>
      <c r="L641" s="9">
        <f t="shared" si="252"/>
        <v>359760.1523000001</v>
      </c>
      <c r="M641" s="9">
        <f t="shared" si="252"/>
        <v>379930.6392440001</v>
      </c>
      <c r="N641" s="9">
        <f t="shared" si="252"/>
        <v>361803.7464680001</v>
      </c>
      <c r="O641" s="9">
        <f t="shared" si="252"/>
        <v>453396.3958759998</v>
      </c>
      <c r="P641" s="114">
        <f t="shared" si="251"/>
        <v>5267298.574987499</v>
      </c>
      <c r="Q641" s="114"/>
    </row>
    <row r="642" spans="1:17" ht="12.75">
      <c r="A642" s="127" t="s">
        <v>128</v>
      </c>
      <c r="B642" s="128"/>
      <c r="C642" s="128"/>
      <c r="D642" s="128"/>
      <c r="E642" s="128"/>
      <c r="F642" s="128"/>
      <c r="G642" s="128"/>
      <c r="H642" s="128"/>
      <c r="I642" s="128"/>
      <c r="J642" s="128"/>
      <c r="K642" s="128"/>
      <c r="L642" s="128"/>
      <c r="M642" s="128"/>
      <c r="N642" s="128"/>
      <c r="O642" s="128"/>
      <c r="P642" s="128"/>
      <c r="Q642" s="129"/>
    </row>
    <row r="643" spans="1:17" ht="12.75">
      <c r="A643" s="116" t="s">
        <v>115</v>
      </c>
      <c r="B643" s="117"/>
      <c r="C643" s="118"/>
      <c r="D643" s="115" t="s">
        <v>26</v>
      </c>
      <c r="E643" s="115"/>
      <c r="F643" s="115"/>
      <c r="G643" s="115"/>
      <c r="H643" s="115"/>
      <c r="I643" s="115"/>
      <c r="J643" s="115"/>
      <c r="K643" s="115"/>
      <c r="L643" s="115"/>
      <c r="M643" s="115"/>
      <c r="N643" s="115"/>
      <c r="O643" s="115"/>
      <c r="P643" s="122" t="s">
        <v>58</v>
      </c>
      <c r="Q643" s="123"/>
    </row>
    <row r="644" spans="1:17" ht="12.75">
      <c r="A644" s="119"/>
      <c r="B644" s="120"/>
      <c r="C644" s="121"/>
      <c r="D644" s="12">
        <v>46631</v>
      </c>
      <c r="E644" s="12">
        <v>46661</v>
      </c>
      <c r="F644" s="12">
        <v>46692</v>
      </c>
      <c r="G644" s="12">
        <v>46722</v>
      </c>
      <c r="H644" s="12">
        <v>46753</v>
      </c>
      <c r="I644" s="12">
        <v>46784</v>
      </c>
      <c r="J644" s="12">
        <v>46813</v>
      </c>
      <c r="K644" s="12">
        <v>46844</v>
      </c>
      <c r="L644" s="12">
        <v>46874</v>
      </c>
      <c r="M644" s="12">
        <v>46905</v>
      </c>
      <c r="N644" s="12">
        <v>46935</v>
      </c>
      <c r="O644" s="12">
        <v>46966</v>
      </c>
      <c r="P644" s="124"/>
      <c r="Q644" s="125"/>
    </row>
    <row r="645" spans="1:17" ht="12.75">
      <c r="A645" s="115" t="s">
        <v>108</v>
      </c>
      <c r="B645" s="115"/>
      <c r="C645" s="115"/>
      <c r="D645" s="8">
        <f>AO37</f>
        <v>51931.51398000002</v>
      </c>
      <c r="E645" s="8">
        <f>AO38</f>
        <v>51931.51398000002</v>
      </c>
      <c r="F645" s="8">
        <f>AO39</f>
        <v>51931.51398000002</v>
      </c>
      <c r="G645" s="8">
        <f>AO40</f>
        <v>51931.51398000002</v>
      </c>
      <c r="H645" s="8">
        <f>AO29</f>
        <v>102505.34132</v>
      </c>
      <c r="I645" s="8">
        <f>AO30</f>
        <v>102505.34132</v>
      </c>
      <c r="J645" s="8">
        <f>AO31</f>
        <v>99423.6569</v>
      </c>
      <c r="K645" s="8">
        <f>AO32</f>
        <v>84779.71637999998</v>
      </c>
      <c r="L645" s="8">
        <f>AO33</f>
        <v>51931.51398000002</v>
      </c>
      <c r="M645" s="8">
        <f>AO34</f>
        <v>51931.51398000002</v>
      </c>
      <c r="N645" s="8">
        <f>AO35</f>
        <v>51931.51398000002</v>
      </c>
      <c r="O645" s="8">
        <f>AO36</f>
        <v>51931.51398000002</v>
      </c>
      <c r="P645" s="114">
        <f aca="true" t="shared" si="253" ref="P645:P653">O645+N645+M645+L645+K645+J645+I645+H645+G645+F645+E645+D645</f>
        <v>804666.1677600003</v>
      </c>
      <c r="Q645" s="114"/>
    </row>
    <row r="646" spans="1:17" ht="12.75">
      <c r="A646" s="115" t="s">
        <v>109</v>
      </c>
      <c r="B646" s="115"/>
      <c r="C646" s="115"/>
      <c r="D646" s="8">
        <f>AO52</f>
        <v>32561.15807999998</v>
      </c>
      <c r="E646" s="8">
        <f>AO53</f>
        <v>23220.895680000005</v>
      </c>
      <c r="F646" s="8">
        <f>AO54</f>
        <v>23220.895680000005</v>
      </c>
      <c r="G646" s="8">
        <f>AO55</f>
        <v>23220.895680000005</v>
      </c>
      <c r="H646" s="8">
        <f>AO44</f>
        <v>45834.70912</v>
      </c>
      <c r="I646" s="8">
        <f>AO45</f>
        <v>45834.70912</v>
      </c>
      <c r="J646" s="8">
        <f>AO46</f>
        <v>45834.70912</v>
      </c>
      <c r="K646" s="8">
        <f>AO47</f>
        <v>45834.70912</v>
      </c>
      <c r="L646" s="8">
        <f>AO48</f>
        <v>45834.709120000014</v>
      </c>
      <c r="M646" s="8">
        <f>AO49</f>
        <v>45834.709120000014</v>
      </c>
      <c r="N646" s="8">
        <f>AO50</f>
        <v>41473.28544000001</v>
      </c>
      <c r="O646" s="8">
        <f>AO51</f>
        <v>58557.17727999997</v>
      </c>
      <c r="P646" s="114">
        <f t="shared" si="253"/>
        <v>477262.56256000005</v>
      </c>
      <c r="Q646" s="114"/>
    </row>
    <row r="647" spans="1:17" ht="12.75">
      <c r="A647" s="115" t="s">
        <v>110</v>
      </c>
      <c r="B647" s="115"/>
      <c r="C647" s="115"/>
      <c r="D647" s="8">
        <f>AO52</f>
        <v>32561.15807999998</v>
      </c>
      <c r="E647" s="8">
        <f>AO53</f>
        <v>23220.895680000005</v>
      </c>
      <c r="F647" s="8">
        <f>AO54</f>
        <v>23220.895680000005</v>
      </c>
      <c r="G647" s="8">
        <f>AO55</f>
        <v>23220.895680000005</v>
      </c>
      <c r="H647" s="8">
        <f>AO44</f>
        <v>45834.70912</v>
      </c>
      <c r="I647" s="8">
        <f>AO45</f>
        <v>45834.70912</v>
      </c>
      <c r="J647" s="8">
        <f>AO46</f>
        <v>45834.70912</v>
      </c>
      <c r="K647" s="8">
        <f>AO47</f>
        <v>45834.70912</v>
      </c>
      <c r="L647" s="8">
        <f>AO48</f>
        <v>45834.709120000014</v>
      </c>
      <c r="M647" s="8">
        <f>AO49</f>
        <v>45834.709120000014</v>
      </c>
      <c r="N647" s="8">
        <f>AO50</f>
        <v>41473.28544000001</v>
      </c>
      <c r="O647" s="8">
        <f>AO51</f>
        <v>58557.17727999997</v>
      </c>
      <c r="P647" s="114">
        <f t="shared" si="253"/>
        <v>477262.56256000005</v>
      </c>
      <c r="Q647" s="114"/>
    </row>
    <row r="648" spans="1:17" ht="12.75">
      <c r="A648" s="115" t="s">
        <v>113</v>
      </c>
      <c r="B648" s="115"/>
      <c r="C648" s="115"/>
      <c r="D648" s="8">
        <f>AO52</f>
        <v>32561.15807999998</v>
      </c>
      <c r="E648" s="8">
        <f>AO53</f>
        <v>23220.895680000005</v>
      </c>
      <c r="F648" s="8">
        <f>AO54</f>
        <v>23220.895680000005</v>
      </c>
      <c r="G648" s="8">
        <f>AO55</f>
        <v>23220.895680000005</v>
      </c>
      <c r="H648" s="8">
        <f>AO44</f>
        <v>45834.70912</v>
      </c>
      <c r="I648" s="8">
        <f>AO45</f>
        <v>45834.70912</v>
      </c>
      <c r="J648" s="8">
        <f>AO46</f>
        <v>45834.70912</v>
      </c>
      <c r="K648" s="8">
        <f>AO47</f>
        <v>45834.70912</v>
      </c>
      <c r="L648" s="8">
        <f>AO48</f>
        <v>45834.709120000014</v>
      </c>
      <c r="M648" s="8">
        <f>AO49</f>
        <v>45834.709120000014</v>
      </c>
      <c r="N648" s="8">
        <f>AO50</f>
        <v>41473.28544000001</v>
      </c>
      <c r="O648" s="8">
        <f>AO51</f>
        <v>58557.17727999997</v>
      </c>
      <c r="P648" s="114">
        <f t="shared" si="253"/>
        <v>477262.56256000005</v>
      </c>
      <c r="Q648" s="114"/>
    </row>
    <row r="649" spans="1:17" ht="12.75">
      <c r="A649" s="115" t="s">
        <v>122</v>
      </c>
      <c r="B649" s="115"/>
      <c r="C649" s="115"/>
      <c r="D649" s="8">
        <f>P268*3</f>
        <v>70337.80300799999</v>
      </c>
      <c r="E649" s="8">
        <f>P269*3</f>
        <v>91956.33534300003</v>
      </c>
      <c r="F649" s="8">
        <f>P270*3</f>
        <v>101909.1492375</v>
      </c>
      <c r="G649" s="8">
        <f>P271*3</f>
        <v>119773.71037499991</v>
      </c>
      <c r="H649" s="8">
        <f>P273*3</f>
        <v>132404.39256</v>
      </c>
      <c r="I649" s="8">
        <f>P274*3</f>
        <v>132404.39256</v>
      </c>
      <c r="J649" s="8">
        <f>P275*3</f>
        <v>112655.932248</v>
      </c>
      <c r="K649" s="8">
        <f>P276*3</f>
        <v>112655.932248</v>
      </c>
      <c r="L649" s="8">
        <f>P277*3</f>
        <v>47768.134079999974</v>
      </c>
      <c r="M649" s="8">
        <f>P278*3</f>
        <v>59052.96854400003</v>
      </c>
      <c r="N649" s="8">
        <f>P279*3</f>
        <v>56231.759928000014</v>
      </c>
      <c r="O649" s="8">
        <f>P280*3</f>
        <v>78801.42885600003</v>
      </c>
      <c r="P649" s="114">
        <f t="shared" si="253"/>
        <v>1115951.9389875</v>
      </c>
      <c r="Q649" s="114"/>
    </row>
    <row r="650" spans="1:17" ht="12.75">
      <c r="A650" s="115" t="s">
        <v>123</v>
      </c>
      <c r="B650" s="115"/>
      <c r="C650" s="115"/>
      <c r="D650" s="8">
        <f>P456*3</f>
        <v>55384.00895999996</v>
      </c>
      <c r="E650" s="8">
        <f>P457*3</f>
        <v>77598.14016000004</v>
      </c>
      <c r="F650" s="8">
        <f>P458*3</f>
        <v>88705.20575999998</v>
      </c>
      <c r="G650" s="8">
        <f>P459*3</f>
        <v>97524.49224000002</v>
      </c>
      <c r="H650" s="8">
        <f>P461*3</f>
        <v>104255.09760000001</v>
      </c>
      <c r="I650" s="8">
        <f>P462*3</f>
        <v>104255.09760000001</v>
      </c>
      <c r="J650" s="8">
        <f>P463*3</f>
        <v>88705.20576000001</v>
      </c>
      <c r="K650" s="8">
        <f>P464*3</f>
        <v>88705.20576000004</v>
      </c>
      <c r="L650" s="8">
        <f>P465*3</f>
        <v>37612.704</v>
      </c>
      <c r="M650" s="8">
        <f>P466*3</f>
        <v>46498.35647999999</v>
      </c>
      <c r="N650" s="8">
        <f>P467*3</f>
        <v>44276.943359999976</v>
      </c>
      <c r="O650" s="8">
        <f>P468*3</f>
        <v>62048.248319999984</v>
      </c>
      <c r="P650" s="114">
        <f t="shared" si="253"/>
        <v>895568.7060000001</v>
      </c>
      <c r="Q650" s="114"/>
    </row>
    <row r="651" spans="1:17" ht="12.75">
      <c r="A651" s="115" t="s">
        <v>117</v>
      </c>
      <c r="B651" s="115"/>
      <c r="C651" s="115"/>
      <c r="D651" s="8">
        <f>AO67*2</f>
        <v>45336.50575999997</v>
      </c>
      <c r="E651" s="8">
        <f>AO68*2</f>
        <v>45336.50575999997</v>
      </c>
      <c r="F651" s="8">
        <f>AO69*2</f>
        <v>45336.50575999997</v>
      </c>
      <c r="G651" s="8">
        <f>AO70*2</f>
        <v>45336.50575999997</v>
      </c>
      <c r="H651" s="8">
        <f>AO59*2</f>
        <v>45336.50576</v>
      </c>
      <c r="I651" s="8">
        <f>AO60*2</f>
        <v>45336.50576</v>
      </c>
      <c r="J651" s="8">
        <f>AO61*2</f>
        <v>45336.50576</v>
      </c>
      <c r="K651" s="8">
        <f>AO62*2</f>
        <v>45336.50576</v>
      </c>
      <c r="L651" s="8">
        <f>AO63*2</f>
        <v>45336.50576</v>
      </c>
      <c r="M651" s="8">
        <f>AO64*2</f>
        <v>45336.50576</v>
      </c>
      <c r="N651" s="8">
        <f>AO65*2</f>
        <v>45336.505760000044</v>
      </c>
      <c r="O651" s="8">
        <f>AO66*2</f>
        <v>45336.50575999997</v>
      </c>
      <c r="P651" s="114">
        <f t="shared" si="253"/>
        <v>544038.0691199999</v>
      </c>
      <c r="Q651" s="114"/>
    </row>
    <row r="652" spans="1:17" ht="12.75">
      <c r="A652" s="115" t="s">
        <v>118</v>
      </c>
      <c r="B652" s="115"/>
      <c r="C652" s="115"/>
      <c r="D652" s="8">
        <f>AO82*2</f>
        <v>39607.16712000002</v>
      </c>
      <c r="E652" s="8">
        <f>AO83*2</f>
        <v>39607.16712000002</v>
      </c>
      <c r="F652" s="8">
        <f>AO84*2</f>
        <v>39607.16712000002</v>
      </c>
      <c r="G652" s="8">
        <f>AO85*2</f>
        <v>39607.16712000002</v>
      </c>
      <c r="H652" s="8">
        <f>AO74*2</f>
        <v>39607.16712</v>
      </c>
      <c r="I652" s="8">
        <f>AO75*2</f>
        <v>39607.16712</v>
      </c>
      <c r="J652" s="8">
        <f>AO76*2</f>
        <v>39607.16712</v>
      </c>
      <c r="K652" s="8">
        <f>AO77*2</f>
        <v>39607.16712</v>
      </c>
      <c r="L652" s="8">
        <f>AO78*2</f>
        <v>39607.16712000002</v>
      </c>
      <c r="M652" s="8">
        <f>AO79*2</f>
        <v>39607.16712000002</v>
      </c>
      <c r="N652" s="8">
        <f>AO80*2</f>
        <v>39607.16712000002</v>
      </c>
      <c r="O652" s="8">
        <f>AO81*2</f>
        <v>39607.16712000002</v>
      </c>
      <c r="P652" s="114">
        <f t="shared" si="253"/>
        <v>475286.0054400001</v>
      </c>
      <c r="Q652" s="114"/>
    </row>
    <row r="653" spans="1:17" ht="12.75">
      <c r="A653" s="126" t="s">
        <v>50</v>
      </c>
      <c r="B653" s="126"/>
      <c r="C653" s="126"/>
      <c r="D653" s="9">
        <f aca="true" t="shared" si="254" ref="D653:O653">D652+D651+D650+D649+D648+D647+D646+D645</f>
        <v>360280.47306799993</v>
      </c>
      <c r="E653" s="9">
        <f t="shared" si="254"/>
        <v>376092.3494030001</v>
      </c>
      <c r="F653" s="9">
        <f t="shared" si="254"/>
        <v>397152.2288975001</v>
      </c>
      <c r="G653" s="9">
        <f t="shared" si="254"/>
        <v>423836.07651499996</v>
      </c>
      <c r="H653" s="9">
        <f t="shared" si="254"/>
        <v>561612.6317200001</v>
      </c>
      <c r="I653" s="9">
        <f t="shared" si="254"/>
        <v>561612.6317200001</v>
      </c>
      <c r="J653" s="9">
        <f t="shared" si="254"/>
        <v>523232.59514800005</v>
      </c>
      <c r="K653" s="9">
        <f t="shared" si="254"/>
        <v>508588.6546280001</v>
      </c>
      <c r="L653" s="9">
        <f t="shared" si="254"/>
        <v>359760.1523000001</v>
      </c>
      <c r="M653" s="9">
        <f t="shared" si="254"/>
        <v>379930.6392440001</v>
      </c>
      <c r="N653" s="9">
        <f t="shared" si="254"/>
        <v>361803.7464680001</v>
      </c>
      <c r="O653" s="9">
        <f t="shared" si="254"/>
        <v>453396.3958759998</v>
      </c>
      <c r="P653" s="114">
        <f t="shared" si="253"/>
        <v>5267298.5749875</v>
      </c>
      <c r="Q653" s="114"/>
    </row>
    <row r="654" spans="1:17" ht="12.75">
      <c r="A654" s="127" t="s">
        <v>129</v>
      </c>
      <c r="B654" s="128"/>
      <c r="C654" s="128"/>
      <c r="D654" s="128"/>
      <c r="E654" s="128"/>
      <c r="F654" s="128"/>
      <c r="G654" s="128"/>
      <c r="H654" s="128"/>
      <c r="I654" s="128"/>
      <c r="J654" s="128"/>
      <c r="K654" s="128"/>
      <c r="L654" s="128"/>
      <c r="M654" s="128"/>
      <c r="N654" s="128"/>
      <c r="O654" s="128"/>
      <c r="P654" s="128"/>
      <c r="Q654" s="129"/>
    </row>
    <row r="655" spans="1:17" ht="12.75">
      <c r="A655" s="116" t="s">
        <v>115</v>
      </c>
      <c r="B655" s="117"/>
      <c r="C655" s="118"/>
      <c r="D655" s="115" t="s">
        <v>26</v>
      </c>
      <c r="E655" s="115"/>
      <c r="F655" s="115"/>
      <c r="G655" s="115"/>
      <c r="H655" s="115"/>
      <c r="I655" s="115"/>
      <c r="J655" s="115"/>
      <c r="K655" s="115"/>
      <c r="L655" s="115"/>
      <c r="M655" s="115"/>
      <c r="N655" s="115"/>
      <c r="O655" s="115"/>
      <c r="P655" s="122" t="s">
        <v>58</v>
      </c>
      <c r="Q655" s="123"/>
    </row>
    <row r="656" spans="1:17" ht="12.75">
      <c r="A656" s="119"/>
      <c r="B656" s="120"/>
      <c r="C656" s="121"/>
      <c r="D656" s="12">
        <v>46997</v>
      </c>
      <c r="E656" s="12">
        <v>47027</v>
      </c>
      <c r="F656" s="12">
        <v>47058</v>
      </c>
      <c r="G656" s="12">
        <v>47088</v>
      </c>
      <c r="H656" s="12">
        <v>47119</v>
      </c>
      <c r="I656" s="12">
        <v>47150</v>
      </c>
      <c r="J656" s="12">
        <v>47178</v>
      </c>
      <c r="K656" s="12">
        <v>47209</v>
      </c>
      <c r="L656" s="12">
        <v>47239</v>
      </c>
      <c r="M656" s="12">
        <v>47270</v>
      </c>
      <c r="N656" s="12">
        <v>47300</v>
      </c>
      <c r="O656" s="12">
        <v>47331</v>
      </c>
      <c r="P656" s="124"/>
      <c r="Q656" s="125"/>
    </row>
    <row r="657" spans="1:17" ht="12.75">
      <c r="A657" s="115" t="s">
        <v>108</v>
      </c>
      <c r="B657" s="115"/>
      <c r="C657" s="115"/>
      <c r="D657" s="8">
        <f>AO37</f>
        <v>51931.51398000002</v>
      </c>
      <c r="E657" s="8">
        <f>AO38</f>
        <v>51931.51398000002</v>
      </c>
      <c r="F657" s="8">
        <f>AO39</f>
        <v>51931.51398000002</v>
      </c>
      <c r="G657" s="8">
        <f>AO40</f>
        <v>51931.51398000002</v>
      </c>
      <c r="H657" s="8">
        <f>AO29</f>
        <v>102505.34132</v>
      </c>
      <c r="I657" s="8">
        <f>AO30</f>
        <v>102505.34132</v>
      </c>
      <c r="J657" s="8">
        <f>AO31</f>
        <v>99423.6569</v>
      </c>
      <c r="K657" s="8">
        <f>AO32</f>
        <v>84779.71637999998</v>
      </c>
      <c r="L657" s="8">
        <f>AO33</f>
        <v>51931.51398000002</v>
      </c>
      <c r="M657" s="8">
        <f>AO34</f>
        <v>51931.51398000002</v>
      </c>
      <c r="N657" s="8">
        <f>AO35</f>
        <v>51931.51398000002</v>
      </c>
      <c r="O657" s="8">
        <f>AO36</f>
        <v>51931.51398000002</v>
      </c>
      <c r="P657" s="114">
        <f aca="true" t="shared" si="255" ref="P657:P665">O657+N657+M657+L657+K657+J657+I657+H657+G657+F657+E657+D657</f>
        <v>804666.1677600003</v>
      </c>
      <c r="Q657" s="114"/>
    </row>
    <row r="658" spans="1:17" ht="12.75">
      <c r="A658" s="115" t="s">
        <v>109</v>
      </c>
      <c r="B658" s="115"/>
      <c r="C658" s="115"/>
      <c r="D658" s="8">
        <f>AO52</f>
        <v>32561.15807999998</v>
      </c>
      <c r="E658" s="8">
        <f>AO53</f>
        <v>23220.895680000005</v>
      </c>
      <c r="F658" s="8">
        <f>AO54</f>
        <v>23220.895680000005</v>
      </c>
      <c r="G658" s="8">
        <f>AO55</f>
        <v>23220.895680000005</v>
      </c>
      <c r="H658" s="8">
        <f>AO44</f>
        <v>45834.70912</v>
      </c>
      <c r="I658" s="8">
        <f>AO45</f>
        <v>45834.70912</v>
      </c>
      <c r="J658" s="8">
        <f>AO46</f>
        <v>45834.70912</v>
      </c>
      <c r="K658" s="8">
        <f>AO47</f>
        <v>45834.70912</v>
      </c>
      <c r="L658" s="8">
        <f>AO48</f>
        <v>45834.709120000014</v>
      </c>
      <c r="M658" s="8">
        <f>AO49</f>
        <v>45834.709120000014</v>
      </c>
      <c r="N658" s="8">
        <f>AO50</f>
        <v>41473.28544000001</v>
      </c>
      <c r="O658" s="8">
        <f>AO51</f>
        <v>58557.17727999997</v>
      </c>
      <c r="P658" s="114">
        <f t="shared" si="255"/>
        <v>477262.56256000005</v>
      </c>
      <c r="Q658" s="114"/>
    </row>
    <row r="659" spans="1:17" ht="12.75">
      <c r="A659" s="115" t="s">
        <v>110</v>
      </c>
      <c r="B659" s="115"/>
      <c r="C659" s="115"/>
      <c r="D659" s="8">
        <f>AO52</f>
        <v>32561.15807999998</v>
      </c>
      <c r="E659" s="8">
        <f>AO53</f>
        <v>23220.895680000005</v>
      </c>
      <c r="F659" s="8">
        <f>AO54</f>
        <v>23220.895680000005</v>
      </c>
      <c r="G659" s="8">
        <f>AO55</f>
        <v>23220.895680000005</v>
      </c>
      <c r="H659" s="8">
        <f>AO44</f>
        <v>45834.70912</v>
      </c>
      <c r="I659" s="8">
        <f>AO45</f>
        <v>45834.70912</v>
      </c>
      <c r="J659" s="8">
        <f>AO46</f>
        <v>45834.70912</v>
      </c>
      <c r="K659" s="8">
        <f>AO47</f>
        <v>45834.70912</v>
      </c>
      <c r="L659" s="8">
        <f>AO48</f>
        <v>45834.709120000014</v>
      </c>
      <c r="M659" s="8">
        <f>AO49</f>
        <v>45834.709120000014</v>
      </c>
      <c r="N659" s="8">
        <f>AO50</f>
        <v>41473.28544000001</v>
      </c>
      <c r="O659" s="8">
        <f>AO51</f>
        <v>58557.17727999997</v>
      </c>
      <c r="P659" s="114">
        <f t="shared" si="255"/>
        <v>477262.56256000005</v>
      </c>
      <c r="Q659" s="114"/>
    </row>
    <row r="660" spans="1:17" ht="12.75">
      <c r="A660" s="115" t="s">
        <v>113</v>
      </c>
      <c r="B660" s="115"/>
      <c r="C660" s="115"/>
      <c r="D660" s="8">
        <f>AO52</f>
        <v>32561.15807999998</v>
      </c>
      <c r="E660" s="8">
        <f>AO53</f>
        <v>23220.895680000005</v>
      </c>
      <c r="F660" s="8">
        <f>AO54</f>
        <v>23220.895680000005</v>
      </c>
      <c r="G660" s="8">
        <f>AO55</f>
        <v>23220.895680000005</v>
      </c>
      <c r="H660" s="8">
        <f>AO44</f>
        <v>45834.70912</v>
      </c>
      <c r="I660" s="8">
        <f>AO45</f>
        <v>45834.70912</v>
      </c>
      <c r="J660" s="8">
        <f>AO46</f>
        <v>45834.70912</v>
      </c>
      <c r="K660" s="8">
        <f>AO47</f>
        <v>45834.70912</v>
      </c>
      <c r="L660" s="8">
        <f>AO48</f>
        <v>45834.709120000014</v>
      </c>
      <c r="M660" s="8">
        <f>AO49</f>
        <v>45834.709120000014</v>
      </c>
      <c r="N660" s="8">
        <f>AO50</f>
        <v>41473.28544000001</v>
      </c>
      <c r="O660" s="8">
        <f>AO51</f>
        <v>58557.17727999997</v>
      </c>
      <c r="P660" s="114">
        <f t="shared" si="255"/>
        <v>477262.56256000005</v>
      </c>
      <c r="Q660" s="114"/>
    </row>
    <row r="661" spans="1:17" ht="12.75">
      <c r="A661" s="115" t="s">
        <v>122</v>
      </c>
      <c r="B661" s="115"/>
      <c r="C661" s="115"/>
      <c r="D661" s="8">
        <f>P282*3</f>
        <v>70337.80300799999</v>
      </c>
      <c r="E661" s="8">
        <f>P283*3</f>
        <v>91956.33534300003</v>
      </c>
      <c r="F661" s="8">
        <f>P284*3</f>
        <v>104461.22940000001</v>
      </c>
      <c r="G661" s="8">
        <f>P285*3</f>
        <v>119773.71037500011</v>
      </c>
      <c r="H661" s="8">
        <f>P287*3</f>
        <v>132404.39256</v>
      </c>
      <c r="I661" s="8">
        <f>P288*3</f>
        <v>132404.39256</v>
      </c>
      <c r="J661" s="8">
        <f>P289*3</f>
        <v>109834.72363199998</v>
      </c>
      <c r="K661" s="8">
        <f>P290*3</f>
        <v>112655.932248</v>
      </c>
      <c r="L661" s="8">
        <f>P291*3</f>
        <v>47768.134079999974</v>
      </c>
      <c r="M661" s="8">
        <f>P292*3</f>
        <v>59052.96854400003</v>
      </c>
      <c r="N661" s="8">
        <f>P293*3</f>
        <v>59052.96854400003</v>
      </c>
      <c r="O661" s="8">
        <f>P294*3</f>
        <v>75980.22024000002</v>
      </c>
      <c r="P661" s="114">
        <f t="shared" si="255"/>
        <v>1115682.8105340002</v>
      </c>
      <c r="Q661" s="114"/>
    </row>
    <row r="662" spans="1:17" ht="12.75">
      <c r="A662" s="115" t="s">
        <v>123</v>
      </c>
      <c r="B662" s="115"/>
      <c r="C662" s="115"/>
      <c r="D662" s="8">
        <f>P470*3</f>
        <v>55384.00895999996</v>
      </c>
      <c r="E662" s="8">
        <f>P471*3</f>
        <v>77598.14016000004</v>
      </c>
      <c r="F662" s="8">
        <f>P472*3</f>
        <v>90926.61888</v>
      </c>
      <c r="G662" s="8">
        <f>P473*3</f>
        <v>97312.58112000003</v>
      </c>
      <c r="H662" s="8">
        <f>P475*3</f>
        <v>104255.09760000001</v>
      </c>
      <c r="I662" s="8">
        <f>P476*3</f>
        <v>104255.09760000001</v>
      </c>
      <c r="J662" s="8">
        <f>P477*3</f>
        <v>86483.79264</v>
      </c>
      <c r="K662" s="8">
        <f>P478*3</f>
        <v>88705.20576000004</v>
      </c>
      <c r="L662" s="8">
        <f>P479*3</f>
        <v>37612.704</v>
      </c>
      <c r="M662" s="8">
        <f>P480*3</f>
        <v>46498.35647999999</v>
      </c>
      <c r="N662" s="8">
        <f>P481*3</f>
        <v>46498.35647999999</v>
      </c>
      <c r="O662" s="8">
        <f>P482*3</f>
        <v>59826.83519999997</v>
      </c>
      <c r="P662" s="114">
        <f t="shared" si="255"/>
        <v>895356.79488</v>
      </c>
      <c r="Q662" s="114"/>
    </row>
    <row r="663" spans="1:17" ht="12.75">
      <c r="A663" s="115" t="s">
        <v>117</v>
      </c>
      <c r="B663" s="115"/>
      <c r="C663" s="115"/>
      <c r="D663" s="8">
        <f>AO67*2</f>
        <v>45336.50575999997</v>
      </c>
      <c r="E663" s="8">
        <f>AO68*2</f>
        <v>45336.50575999997</v>
      </c>
      <c r="F663" s="8">
        <f>AO69*2</f>
        <v>45336.50575999997</v>
      </c>
      <c r="G663" s="8">
        <f>AO70*2</f>
        <v>45336.50575999997</v>
      </c>
      <c r="H663" s="8">
        <f>AO59*2</f>
        <v>45336.50576</v>
      </c>
      <c r="I663" s="8">
        <f>AO60*2</f>
        <v>45336.50576</v>
      </c>
      <c r="J663" s="8">
        <f>AO61*2</f>
        <v>45336.50576</v>
      </c>
      <c r="K663" s="8">
        <f>AO62*2</f>
        <v>45336.50576</v>
      </c>
      <c r="L663" s="8">
        <f>AO63*2</f>
        <v>45336.50576</v>
      </c>
      <c r="M663" s="8">
        <f>AO64*2</f>
        <v>45336.50576</v>
      </c>
      <c r="N663" s="8">
        <f>AO65*2</f>
        <v>45336.505760000044</v>
      </c>
      <c r="O663" s="8">
        <f>AO66*2</f>
        <v>45336.50575999997</v>
      </c>
      <c r="P663" s="114">
        <f t="shared" si="255"/>
        <v>544038.0691199999</v>
      </c>
      <c r="Q663" s="114"/>
    </row>
    <row r="664" spans="1:17" ht="12.75">
      <c r="A664" s="115" t="s">
        <v>118</v>
      </c>
      <c r="B664" s="115"/>
      <c r="C664" s="115"/>
      <c r="D664" s="8">
        <f>AO82*2</f>
        <v>39607.16712000002</v>
      </c>
      <c r="E664" s="8">
        <f>AO83*2</f>
        <v>39607.16712000002</v>
      </c>
      <c r="F664" s="8">
        <f>AO84*2</f>
        <v>39607.16712000002</v>
      </c>
      <c r="G664" s="8">
        <f>AO85*2</f>
        <v>39607.16712000002</v>
      </c>
      <c r="H664" s="8">
        <f>AO74*2</f>
        <v>39607.16712</v>
      </c>
      <c r="I664" s="8">
        <f>AO75*2</f>
        <v>39607.16712</v>
      </c>
      <c r="J664" s="8">
        <f>AO76*2</f>
        <v>39607.16712</v>
      </c>
      <c r="K664" s="8">
        <f>AO77*2</f>
        <v>39607.16712</v>
      </c>
      <c r="L664" s="8">
        <f>AO78*2</f>
        <v>39607.16712000002</v>
      </c>
      <c r="M664" s="8">
        <f>AO79*2</f>
        <v>39607.16712000002</v>
      </c>
      <c r="N664" s="8">
        <f>AO80*2</f>
        <v>39607.16712000002</v>
      </c>
      <c r="O664" s="8">
        <f>AO81*2</f>
        <v>39607.16712000002</v>
      </c>
      <c r="P664" s="114">
        <f t="shared" si="255"/>
        <v>475286.0054400001</v>
      </c>
      <c r="Q664" s="114"/>
    </row>
    <row r="665" spans="1:17" ht="12.75">
      <c r="A665" s="126" t="s">
        <v>50</v>
      </c>
      <c r="B665" s="126"/>
      <c r="C665" s="126"/>
      <c r="D665" s="9">
        <f aca="true" t="shared" si="256" ref="D665:O665">D664+D663+D662+D661+D660+D659+D658+D657</f>
        <v>360280.47306799993</v>
      </c>
      <c r="E665" s="9">
        <f t="shared" si="256"/>
        <v>376092.3494030001</v>
      </c>
      <c r="F665" s="9">
        <f t="shared" si="256"/>
        <v>401925.72218000004</v>
      </c>
      <c r="G665" s="9">
        <f t="shared" si="256"/>
        <v>423624.16539500013</v>
      </c>
      <c r="H665" s="9">
        <f t="shared" si="256"/>
        <v>561612.6317200001</v>
      </c>
      <c r="I665" s="9">
        <f t="shared" si="256"/>
        <v>561612.6317200001</v>
      </c>
      <c r="J665" s="9">
        <f t="shared" si="256"/>
        <v>518189.97341200005</v>
      </c>
      <c r="K665" s="9">
        <f t="shared" si="256"/>
        <v>508588.6546280001</v>
      </c>
      <c r="L665" s="9">
        <f t="shared" si="256"/>
        <v>359760.1523000001</v>
      </c>
      <c r="M665" s="9">
        <f t="shared" si="256"/>
        <v>379930.6392440001</v>
      </c>
      <c r="N665" s="9">
        <f t="shared" si="256"/>
        <v>366846.3682040002</v>
      </c>
      <c r="O665" s="9">
        <f t="shared" si="256"/>
        <v>448353.7741399999</v>
      </c>
      <c r="P665" s="114">
        <f t="shared" si="255"/>
        <v>5266817.535414001</v>
      </c>
      <c r="Q665" s="114"/>
    </row>
    <row r="666" spans="1:17" ht="12.75">
      <c r="A666" s="127" t="s">
        <v>130</v>
      </c>
      <c r="B666" s="128"/>
      <c r="C666" s="128"/>
      <c r="D666" s="128"/>
      <c r="E666" s="128"/>
      <c r="F666" s="128"/>
      <c r="G666" s="128"/>
      <c r="H666" s="128"/>
      <c r="I666" s="128"/>
      <c r="J666" s="128"/>
      <c r="K666" s="128"/>
      <c r="L666" s="128"/>
      <c r="M666" s="128"/>
      <c r="N666" s="128"/>
      <c r="O666" s="128"/>
      <c r="P666" s="128"/>
      <c r="Q666" s="129"/>
    </row>
    <row r="667" spans="1:17" ht="12.75">
      <c r="A667" s="116" t="s">
        <v>115</v>
      </c>
      <c r="B667" s="117"/>
      <c r="C667" s="118"/>
      <c r="D667" s="115" t="s">
        <v>26</v>
      </c>
      <c r="E667" s="115"/>
      <c r="F667" s="115"/>
      <c r="G667" s="115"/>
      <c r="H667" s="115"/>
      <c r="I667" s="115"/>
      <c r="J667" s="115"/>
      <c r="K667" s="115"/>
      <c r="L667" s="115"/>
      <c r="M667" s="115"/>
      <c r="N667" s="115"/>
      <c r="O667" s="115"/>
      <c r="P667" s="122" t="s">
        <v>58</v>
      </c>
      <c r="Q667" s="123"/>
    </row>
    <row r="668" spans="1:17" ht="12.75">
      <c r="A668" s="119"/>
      <c r="B668" s="120"/>
      <c r="C668" s="121"/>
      <c r="D668" s="12">
        <v>47362</v>
      </c>
      <c r="E668" s="12">
        <v>47392</v>
      </c>
      <c r="F668" s="12">
        <v>47423</v>
      </c>
      <c r="G668" s="12">
        <v>47453</v>
      </c>
      <c r="H668" s="12">
        <v>47484</v>
      </c>
      <c r="I668" s="12">
        <v>47515</v>
      </c>
      <c r="J668" s="12">
        <v>47543</v>
      </c>
      <c r="K668" s="12">
        <v>47574</v>
      </c>
      <c r="L668" s="12">
        <v>47604</v>
      </c>
      <c r="M668" s="12">
        <v>47635</v>
      </c>
      <c r="N668" s="12">
        <v>47665</v>
      </c>
      <c r="O668" s="12">
        <v>47696</v>
      </c>
      <c r="P668" s="124"/>
      <c r="Q668" s="125"/>
    </row>
    <row r="669" spans="1:17" ht="12.75">
      <c r="A669" s="115" t="s">
        <v>108</v>
      </c>
      <c r="B669" s="115"/>
      <c r="C669" s="115"/>
      <c r="D669" s="8">
        <f>AO37</f>
        <v>51931.51398000002</v>
      </c>
      <c r="E669" s="8">
        <f>AO38</f>
        <v>51931.51398000002</v>
      </c>
      <c r="F669" s="8">
        <f>AO39</f>
        <v>51931.51398000002</v>
      </c>
      <c r="G669" s="8">
        <f>AO40</f>
        <v>51931.51398000002</v>
      </c>
      <c r="H669" s="8">
        <f>AO29</f>
        <v>102505.34132</v>
      </c>
      <c r="I669" s="8">
        <f>AO30</f>
        <v>102505.34132</v>
      </c>
      <c r="J669" s="8">
        <f>AO31</f>
        <v>99423.6569</v>
      </c>
      <c r="K669" s="8">
        <f>AO32</f>
        <v>84779.71637999998</v>
      </c>
      <c r="L669" s="8">
        <f>AO33</f>
        <v>51931.51398000002</v>
      </c>
      <c r="M669" s="8">
        <f>AO34</f>
        <v>51931.51398000002</v>
      </c>
      <c r="N669" s="8">
        <f>AO35</f>
        <v>51931.51398000002</v>
      </c>
      <c r="O669" s="8">
        <f>AO36</f>
        <v>51931.51398000002</v>
      </c>
      <c r="P669" s="114">
        <f aca="true" t="shared" si="257" ref="P669:P677">O669+N669+M669+L669+K669+J669+I669+H669+G669+F669+E669+D669</f>
        <v>804666.1677600003</v>
      </c>
      <c r="Q669" s="114"/>
    </row>
    <row r="670" spans="1:17" ht="12.75">
      <c r="A670" s="115" t="s">
        <v>109</v>
      </c>
      <c r="B670" s="115"/>
      <c r="C670" s="115"/>
      <c r="D670" s="8">
        <f>AO52</f>
        <v>32561.15807999998</v>
      </c>
      <c r="E670" s="8">
        <f>AO53</f>
        <v>23220.895680000005</v>
      </c>
      <c r="F670" s="8">
        <f>AO54</f>
        <v>23220.895680000005</v>
      </c>
      <c r="G670" s="8">
        <f>AO55</f>
        <v>23220.895680000005</v>
      </c>
      <c r="H670" s="8">
        <f>AO44</f>
        <v>45834.70912</v>
      </c>
      <c r="I670" s="8">
        <f>AO45</f>
        <v>45834.70912</v>
      </c>
      <c r="J670" s="8">
        <f>AO46</f>
        <v>45834.70912</v>
      </c>
      <c r="K670" s="8">
        <f>AO47</f>
        <v>45834.70912</v>
      </c>
      <c r="L670" s="8">
        <f>AO48</f>
        <v>45834.709120000014</v>
      </c>
      <c r="M670" s="8">
        <f>AO49</f>
        <v>45834.709120000014</v>
      </c>
      <c r="N670" s="8">
        <f>AO50</f>
        <v>41473.28544000001</v>
      </c>
      <c r="O670" s="8">
        <f>AO51</f>
        <v>58557.17727999997</v>
      </c>
      <c r="P670" s="114">
        <f t="shared" si="257"/>
        <v>477262.56256000005</v>
      </c>
      <c r="Q670" s="114"/>
    </row>
    <row r="671" spans="1:17" ht="12.75">
      <c r="A671" s="115" t="s">
        <v>110</v>
      </c>
      <c r="B671" s="115"/>
      <c r="C671" s="115"/>
      <c r="D671" s="8">
        <f>AO52</f>
        <v>32561.15807999998</v>
      </c>
      <c r="E671" s="8">
        <f>AO53</f>
        <v>23220.895680000005</v>
      </c>
      <c r="F671" s="8">
        <f>AO54</f>
        <v>23220.895680000005</v>
      </c>
      <c r="G671" s="8">
        <f>AO55</f>
        <v>23220.895680000005</v>
      </c>
      <c r="H671" s="8">
        <f>AO44</f>
        <v>45834.70912</v>
      </c>
      <c r="I671" s="8">
        <f>AO45</f>
        <v>45834.70912</v>
      </c>
      <c r="J671" s="8">
        <f>AO46</f>
        <v>45834.70912</v>
      </c>
      <c r="K671" s="8">
        <f>AO47</f>
        <v>45834.70912</v>
      </c>
      <c r="L671" s="8">
        <f>AO48</f>
        <v>45834.709120000014</v>
      </c>
      <c r="M671" s="8">
        <f>AO49</f>
        <v>45834.709120000014</v>
      </c>
      <c r="N671" s="8">
        <f>AO50</f>
        <v>41473.28544000001</v>
      </c>
      <c r="O671" s="8">
        <f>AO51</f>
        <v>58557.17727999997</v>
      </c>
      <c r="P671" s="114">
        <f t="shared" si="257"/>
        <v>477262.56256000005</v>
      </c>
      <c r="Q671" s="114"/>
    </row>
    <row r="672" spans="1:17" ht="12.75">
      <c r="A672" s="115" t="s">
        <v>113</v>
      </c>
      <c r="B672" s="115"/>
      <c r="C672" s="115"/>
      <c r="D672" s="8">
        <f>AO52</f>
        <v>32561.15807999998</v>
      </c>
      <c r="E672" s="8">
        <f>AO53</f>
        <v>23220.895680000005</v>
      </c>
      <c r="F672" s="8">
        <f>AO54</f>
        <v>23220.895680000005</v>
      </c>
      <c r="G672" s="8">
        <f>AO55</f>
        <v>23220.895680000005</v>
      </c>
      <c r="H672" s="8">
        <f>AO44</f>
        <v>45834.70912</v>
      </c>
      <c r="I672" s="8">
        <f>AO45</f>
        <v>45834.70912</v>
      </c>
      <c r="J672" s="8">
        <f>AO46</f>
        <v>45834.70912</v>
      </c>
      <c r="K672" s="8">
        <f>AO47</f>
        <v>45834.70912</v>
      </c>
      <c r="L672" s="8">
        <f>AO48</f>
        <v>45834.709120000014</v>
      </c>
      <c r="M672" s="8">
        <f>AO49</f>
        <v>45834.709120000014</v>
      </c>
      <c r="N672" s="8">
        <f>AO50</f>
        <v>41473.28544000001</v>
      </c>
      <c r="O672" s="8">
        <f>AO51</f>
        <v>58557.17727999997</v>
      </c>
      <c r="P672" s="114">
        <f t="shared" si="257"/>
        <v>477262.56256000005</v>
      </c>
      <c r="Q672" s="114"/>
    </row>
    <row r="673" spans="1:17" ht="12.75">
      <c r="A673" s="115" t="s">
        <v>122</v>
      </c>
      <c r="B673" s="115"/>
      <c r="C673" s="115"/>
      <c r="D673" s="8">
        <f>P296*3</f>
        <v>70337.80300799999</v>
      </c>
      <c r="E673" s="8">
        <f>P297*3</f>
        <v>92225.46379650003</v>
      </c>
      <c r="F673" s="8">
        <f>P298*3</f>
        <v>104461.22940000001</v>
      </c>
      <c r="G673" s="8">
        <f>P299*3</f>
        <v>119773.71037499991</v>
      </c>
      <c r="H673" s="8">
        <f>P301*3</f>
        <v>132404.39256</v>
      </c>
      <c r="I673" s="8">
        <f>P302*3</f>
        <v>132404.39256</v>
      </c>
      <c r="J673" s="8">
        <f>P303*3</f>
        <v>109834.72363199998</v>
      </c>
      <c r="K673" s="8">
        <f>P304*3</f>
        <v>112655.932248</v>
      </c>
      <c r="L673" s="8">
        <f>P305*3</f>
        <v>47768.134079999974</v>
      </c>
      <c r="M673" s="8">
        <f>P306*3</f>
        <v>59052.96854400003</v>
      </c>
      <c r="N673" s="8">
        <f>P307*3</f>
        <v>59052.96854400003</v>
      </c>
      <c r="O673" s="8">
        <f>P308*3</f>
        <v>78801.42885600003</v>
      </c>
      <c r="P673" s="114">
        <f t="shared" si="257"/>
        <v>1118773.1476035</v>
      </c>
      <c r="Q673" s="114"/>
    </row>
    <row r="674" spans="1:17" ht="12.75">
      <c r="A674" s="115" t="s">
        <v>123</v>
      </c>
      <c r="B674" s="115"/>
      <c r="C674" s="115"/>
      <c r="D674" s="8">
        <f>P484*3</f>
        <v>55384.00895999996</v>
      </c>
      <c r="E674" s="8">
        <f>P485*3</f>
        <v>77598.14016000004</v>
      </c>
      <c r="F674" s="8">
        <f>P486*3</f>
        <v>90926.61888</v>
      </c>
      <c r="G674" s="8">
        <f>P487*3</f>
        <v>97524.49224000002</v>
      </c>
      <c r="H674" s="8">
        <f>P489*3</f>
        <v>104255.09760000001</v>
      </c>
      <c r="I674" s="8">
        <f>P490*3</f>
        <v>104255.09760000001</v>
      </c>
      <c r="J674" s="8">
        <f>P491*3</f>
        <v>86483.79264</v>
      </c>
      <c r="K674" s="8">
        <f>P492*3</f>
        <v>88705.20576000004</v>
      </c>
      <c r="L674" s="8">
        <f>P493*3</f>
        <v>37612.704</v>
      </c>
      <c r="M674" s="8">
        <f>P494*3</f>
        <v>46498.35647999999</v>
      </c>
      <c r="N674" s="8">
        <f>P495*3</f>
        <v>46498.35647999999</v>
      </c>
      <c r="O674" s="8">
        <f>P496*3</f>
        <v>62048.248319999984</v>
      </c>
      <c r="P674" s="114">
        <f t="shared" si="257"/>
        <v>897790.11912</v>
      </c>
      <c r="Q674" s="114"/>
    </row>
    <row r="675" spans="1:17" ht="12.75">
      <c r="A675" s="115" t="s">
        <v>117</v>
      </c>
      <c r="B675" s="115"/>
      <c r="C675" s="115"/>
      <c r="D675" s="8">
        <f>AO67*2</f>
        <v>45336.50575999997</v>
      </c>
      <c r="E675" s="8">
        <f>AO68*2</f>
        <v>45336.50575999997</v>
      </c>
      <c r="F675" s="8">
        <f>AO69*2</f>
        <v>45336.50575999997</v>
      </c>
      <c r="G675" s="8">
        <f>AO70*2</f>
        <v>45336.50575999997</v>
      </c>
      <c r="H675" s="8">
        <f>AO59*2</f>
        <v>45336.50576</v>
      </c>
      <c r="I675" s="8">
        <f>AO60*2</f>
        <v>45336.50576</v>
      </c>
      <c r="J675" s="8">
        <f>AO61*2</f>
        <v>45336.50576</v>
      </c>
      <c r="K675" s="8">
        <f>AO62*2</f>
        <v>45336.50576</v>
      </c>
      <c r="L675" s="8">
        <f>AO63*2</f>
        <v>45336.50576</v>
      </c>
      <c r="M675" s="8">
        <f>AO64*2</f>
        <v>45336.50576</v>
      </c>
      <c r="N675" s="8">
        <f>AO65*2</f>
        <v>45336.505760000044</v>
      </c>
      <c r="O675" s="8">
        <f>AO66*2</f>
        <v>45336.50575999997</v>
      </c>
      <c r="P675" s="114">
        <f t="shared" si="257"/>
        <v>544038.0691199999</v>
      </c>
      <c r="Q675" s="114"/>
    </row>
    <row r="676" spans="1:17" ht="12.75">
      <c r="A676" s="115" t="s">
        <v>118</v>
      </c>
      <c r="B676" s="115"/>
      <c r="C676" s="115"/>
      <c r="D676" s="8">
        <f>AO82*2</f>
        <v>39607.16712000002</v>
      </c>
      <c r="E676" s="8">
        <f>AO83*2</f>
        <v>39607.16712000002</v>
      </c>
      <c r="F676" s="8">
        <f>AO84*2</f>
        <v>39607.16712000002</v>
      </c>
      <c r="G676" s="8">
        <f>AO85*2</f>
        <v>39607.16712000002</v>
      </c>
      <c r="H676" s="8">
        <f>AO74*2</f>
        <v>39607.16712</v>
      </c>
      <c r="I676" s="8">
        <f>AO75*2</f>
        <v>39607.16712</v>
      </c>
      <c r="J676" s="8">
        <f>AO76*2</f>
        <v>39607.16712</v>
      </c>
      <c r="K676" s="8">
        <f>AO77*2</f>
        <v>39607.16712</v>
      </c>
      <c r="L676" s="8">
        <f>AO78*2</f>
        <v>39607.16712000002</v>
      </c>
      <c r="M676" s="8">
        <f>AO79*2</f>
        <v>39607.16712000002</v>
      </c>
      <c r="N676" s="8">
        <f>AO80*2</f>
        <v>39607.16712000002</v>
      </c>
      <c r="O676" s="8">
        <f>AO81*2</f>
        <v>39607.16712000002</v>
      </c>
      <c r="P676" s="114">
        <f t="shared" si="257"/>
        <v>475286.0054400001</v>
      </c>
      <c r="Q676" s="114"/>
    </row>
    <row r="677" spans="1:17" ht="12.75">
      <c r="A677" s="126" t="s">
        <v>50</v>
      </c>
      <c r="B677" s="126"/>
      <c r="C677" s="126"/>
      <c r="D677" s="9">
        <f aca="true" t="shared" si="258" ref="D677:O677">D676+D675+D674+D673+D672+D671+D670+D669</f>
        <v>360280.47306799993</v>
      </c>
      <c r="E677" s="9">
        <f t="shared" si="258"/>
        <v>376361.4778565001</v>
      </c>
      <c r="F677" s="9">
        <f t="shared" si="258"/>
        <v>401925.72218000004</v>
      </c>
      <c r="G677" s="9">
        <f t="shared" si="258"/>
        <v>423836.07651499996</v>
      </c>
      <c r="H677" s="9">
        <f t="shared" si="258"/>
        <v>561612.6317200001</v>
      </c>
      <c r="I677" s="9">
        <f t="shared" si="258"/>
        <v>561612.6317200001</v>
      </c>
      <c r="J677" s="9">
        <f t="shared" si="258"/>
        <v>518189.97341200005</v>
      </c>
      <c r="K677" s="9">
        <f t="shared" si="258"/>
        <v>508588.6546280001</v>
      </c>
      <c r="L677" s="9">
        <f t="shared" si="258"/>
        <v>359760.1523000001</v>
      </c>
      <c r="M677" s="9">
        <f t="shared" si="258"/>
        <v>379930.6392440001</v>
      </c>
      <c r="N677" s="9">
        <f t="shared" si="258"/>
        <v>366846.3682040002</v>
      </c>
      <c r="O677" s="9">
        <f t="shared" si="258"/>
        <v>453396.3958759998</v>
      </c>
      <c r="P677" s="114">
        <f t="shared" si="257"/>
        <v>5272341.1967235</v>
      </c>
      <c r="Q677" s="114"/>
    </row>
    <row r="678" spans="1:17" ht="12.75">
      <c r="A678" s="127" t="s">
        <v>131</v>
      </c>
      <c r="B678" s="128"/>
      <c r="C678" s="128"/>
      <c r="D678" s="128"/>
      <c r="E678" s="128"/>
      <c r="F678" s="128"/>
      <c r="G678" s="128"/>
      <c r="H678" s="128"/>
      <c r="I678" s="128"/>
      <c r="J678" s="128"/>
      <c r="K678" s="128"/>
      <c r="L678" s="128"/>
      <c r="M678" s="128"/>
      <c r="N678" s="128"/>
      <c r="O678" s="128"/>
      <c r="P678" s="128"/>
      <c r="Q678" s="129"/>
    </row>
    <row r="679" spans="1:17" ht="12.75">
      <c r="A679" s="116" t="s">
        <v>115</v>
      </c>
      <c r="B679" s="117"/>
      <c r="C679" s="118"/>
      <c r="D679" s="115" t="s">
        <v>26</v>
      </c>
      <c r="E679" s="115"/>
      <c r="F679" s="115"/>
      <c r="G679" s="115"/>
      <c r="H679" s="115"/>
      <c r="I679" s="115"/>
      <c r="J679" s="115"/>
      <c r="K679" s="115"/>
      <c r="L679" s="115"/>
      <c r="M679" s="115"/>
      <c r="N679" s="115"/>
      <c r="O679" s="115"/>
      <c r="P679" s="122" t="s">
        <v>58</v>
      </c>
      <c r="Q679" s="123"/>
    </row>
    <row r="680" spans="1:17" ht="12.75">
      <c r="A680" s="119"/>
      <c r="B680" s="120"/>
      <c r="C680" s="121"/>
      <c r="D680" s="12">
        <v>47727</v>
      </c>
      <c r="E680" s="12">
        <v>47757</v>
      </c>
      <c r="F680" s="12">
        <v>47788</v>
      </c>
      <c r="G680" s="12">
        <v>47818</v>
      </c>
      <c r="H680" s="12">
        <v>47849</v>
      </c>
      <c r="I680" s="12">
        <v>47880</v>
      </c>
      <c r="J680" s="12">
        <v>47908</v>
      </c>
      <c r="K680" s="12">
        <v>47939</v>
      </c>
      <c r="L680" s="12">
        <v>47969</v>
      </c>
      <c r="M680" s="12">
        <v>48000</v>
      </c>
      <c r="N680" s="12">
        <v>48030</v>
      </c>
      <c r="O680" s="12">
        <v>48061</v>
      </c>
      <c r="P680" s="124"/>
      <c r="Q680" s="125"/>
    </row>
    <row r="681" spans="1:17" ht="12.75">
      <c r="A681" s="115" t="s">
        <v>108</v>
      </c>
      <c r="B681" s="115"/>
      <c r="C681" s="115"/>
      <c r="D681" s="8">
        <f>AO37</f>
        <v>51931.51398000002</v>
      </c>
      <c r="E681" s="8">
        <f>AO38</f>
        <v>51931.51398000002</v>
      </c>
      <c r="F681" s="8">
        <f>AO39</f>
        <v>51931.51398000002</v>
      </c>
      <c r="G681" s="8">
        <f>AO40</f>
        <v>51931.51398000002</v>
      </c>
      <c r="H681" s="8">
        <f>AO29</f>
        <v>102505.34132</v>
      </c>
      <c r="I681" s="8">
        <f>AO30</f>
        <v>102505.34132</v>
      </c>
      <c r="J681" s="8">
        <f>AO31</f>
        <v>99423.6569</v>
      </c>
      <c r="K681" s="8">
        <f>AO32</f>
        <v>84779.71637999998</v>
      </c>
      <c r="L681" s="8">
        <f>AO33</f>
        <v>51931.51398000002</v>
      </c>
      <c r="M681" s="8">
        <f>AO34</f>
        <v>51931.51398000002</v>
      </c>
      <c r="N681" s="8">
        <f>AO35</f>
        <v>51931.51398000002</v>
      </c>
      <c r="O681" s="8">
        <f>AO36</f>
        <v>51931.51398000002</v>
      </c>
      <c r="P681" s="114">
        <f aca="true" t="shared" si="259" ref="P681:P689">O681+N681+M681+L681+K681+J681+I681+H681+G681+F681+E681+D681</f>
        <v>804666.1677600003</v>
      </c>
      <c r="Q681" s="114"/>
    </row>
    <row r="682" spans="1:17" ht="12.75">
      <c r="A682" s="115" t="s">
        <v>109</v>
      </c>
      <c r="B682" s="115"/>
      <c r="C682" s="115"/>
      <c r="D682" s="8">
        <f>AO52</f>
        <v>32561.15807999998</v>
      </c>
      <c r="E682" s="8">
        <f>AO53</f>
        <v>23220.895680000005</v>
      </c>
      <c r="F682" s="8">
        <f>AO54</f>
        <v>23220.895680000005</v>
      </c>
      <c r="G682" s="8">
        <f>AO55</f>
        <v>23220.895680000005</v>
      </c>
      <c r="H682" s="8">
        <f>AO44</f>
        <v>45834.70912</v>
      </c>
      <c r="I682" s="8">
        <f>AO45</f>
        <v>45834.70912</v>
      </c>
      <c r="J682" s="8">
        <f>AO46</f>
        <v>45834.70912</v>
      </c>
      <c r="K682" s="8">
        <f>AO47</f>
        <v>45834.70912</v>
      </c>
      <c r="L682" s="8">
        <f>AO48</f>
        <v>45834.709120000014</v>
      </c>
      <c r="M682" s="8">
        <f>AO49</f>
        <v>45834.709120000014</v>
      </c>
      <c r="N682" s="8">
        <f>AO50</f>
        <v>41473.28544000001</v>
      </c>
      <c r="O682" s="8">
        <f>AO51</f>
        <v>58557.17727999997</v>
      </c>
      <c r="P682" s="114">
        <f t="shared" si="259"/>
        <v>477262.56256000005</v>
      </c>
      <c r="Q682" s="114"/>
    </row>
    <row r="683" spans="1:17" ht="12.75">
      <c r="A683" s="115" t="s">
        <v>110</v>
      </c>
      <c r="B683" s="115"/>
      <c r="C683" s="115"/>
      <c r="D683" s="8">
        <f>AO52</f>
        <v>32561.15807999998</v>
      </c>
      <c r="E683" s="8">
        <f>AO53</f>
        <v>23220.895680000005</v>
      </c>
      <c r="F683" s="8">
        <f>AO54</f>
        <v>23220.895680000005</v>
      </c>
      <c r="G683" s="8">
        <f>AO55</f>
        <v>23220.895680000005</v>
      </c>
      <c r="H683" s="8">
        <f>AO44</f>
        <v>45834.70912</v>
      </c>
      <c r="I683" s="8">
        <f>AO45</f>
        <v>45834.70912</v>
      </c>
      <c r="J683" s="8">
        <f>AO46</f>
        <v>45834.70912</v>
      </c>
      <c r="K683" s="8">
        <f>AO47</f>
        <v>45834.70912</v>
      </c>
      <c r="L683" s="8">
        <f>AO48</f>
        <v>45834.709120000014</v>
      </c>
      <c r="M683" s="8">
        <f>AO49</f>
        <v>45834.709120000014</v>
      </c>
      <c r="N683" s="8">
        <f>AO50</f>
        <v>41473.28544000001</v>
      </c>
      <c r="O683" s="8">
        <f>AO51</f>
        <v>58557.17727999997</v>
      </c>
      <c r="P683" s="114">
        <f t="shared" si="259"/>
        <v>477262.56256000005</v>
      </c>
      <c r="Q683" s="114"/>
    </row>
    <row r="684" spans="1:17" ht="12.75">
      <c r="A684" s="115" t="s">
        <v>113</v>
      </c>
      <c r="B684" s="115"/>
      <c r="C684" s="115"/>
      <c r="D684" s="8">
        <f>AO52</f>
        <v>32561.15807999998</v>
      </c>
      <c r="E684" s="8">
        <f>AO53</f>
        <v>23220.895680000005</v>
      </c>
      <c r="F684" s="8">
        <f>AO54</f>
        <v>23220.895680000005</v>
      </c>
      <c r="G684" s="8">
        <f>AO55</f>
        <v>23220.895680000005</v>
      </c>
      <c r="H684" s="8">
        <f>AO44</f>
        <v>45834.70912</v>
      </c>
      <c r="I684" s="8">
        <f>AO45</f>
        <v>45834.70912</v>
      </c>
      <c r="J684" s="8">
        <f>AO46</f>
        <v>45834.70912</v>
      </c>
      <c r="K684" s="8">
        <f>AO47</f>
        <v>45834.70912</v>
      </c>
      <c r="L684" s="8">
        <f>AO48</f>
        <v>45834.709120000014</v>
      </c>
      <c r="M684" s="8">
        <f>AO49</f>
        <v>45834.709120000014</v>
      </c>
      <c r="N684" s="8">
        <f>AO50</f>
        <v>41473.28544000001</v>
      </c>
      <c r="O684" s="8">
        <f>AO51</f>
        <v>58557.17727999997</v>
      </c>
      <c r="P684" s="114">
        <f t="shared" si="259"/>
        <v>477262.56256000005</v>
      </c>
      <c r="Q684" s="114"/>
    </row>
    <row r="685" spans="1:17" ht="12.75">
      <c r="A685" s="115" t="s">
        <v>122</v>
      </c>
      <c r="B685" s="115"/>
      <c r="C685" s="115"/>
      <c r="D685" s="8">
        <f>P310*3</f>
        <v>67516.59439199997</v>
      </c>
      <c r="E685" s="8">
        <f>P311*3</f>
        <v>92225.46379650003</v>
      </c>
      <c r="F685" s="8">
        <f>P312*3</f>
        <v>104461.22940000001</v>
      </c>
      <c r="G685" s="8">
        <f>P313*3</f>
        <v>119773.71037499991</v>
      </c>
      <c r="H685" s="8">
        <f>P315*3</f>
        <v>132404.39256</v>
      </c>
      <c r="I685" s="8">
        <f>P316*3</f>
        <v>132404.39256</v>
      </c>
      <c r="J685" s="8">
        <f>P317*3</f>
        <v>112655.932248</v>
      </c>
      <c r="K685" s="8">
        <f>P318*3</f>
        <v>112655.932248</v>
      </c>
      <c r="L685" s="8">
        <f>P319*3</f>
        <v>47768.134079999974</v>
      </c>
      <c r="M685" s="8">
        <f>P320*3</f>
        <v>56231.759928000014</v>
      </c>
      <c r="N685" s="8">
        <f>P321*3</f>
        <v>59052.96854400003</v>
      </c>
      <c r="O685" s="8">
        <f>P322*3</f>
        <v>78801.42885600003</v>
      </c>
      <c r="P685" s="114">
        <f t="shared" si="259"/>
        <v>1115951.9389874998</v>
      </c>
      <c r="Q685" s="114"/>
    </row>
    <row r="686" spans="1:17" ht="12.75">
      <c r="A686" s="115" t="s">
        <v>123</v>
      </c>
      <c r="B686" s="115"/>
      <c r="C686" s="115"/>
      <c r="D686" s="8">
        <f>P498*3</f>
        <v>53162.59583999995</v>
      </c>
      <c r="E686" s="8">
        <f>P499*3</f>
        <v>77598.14016000004</v>
      </c>
      <c r="F686" s="8">
        <f>P500*3</f>
        <v>90926.61888</v>
      </c>
      <c r="G686" s="8">
        <f>P501*3</f>
        <v>97524.49224000002</v>
      </c>
      <c r="H686" s="8">
        <f>P503*3</f>
        <v>104255.09760000001</v>
      </c>
      <c r="I686" s="8">
        <f>P504*3</f>
        <v>104255.09760000001</v>
      </c>
      <c r="J686" s="8">
        <f>P505*3</f>
        <v>88705.20576000001</v>
      </c>
      <c r="K686" s="8">
        <f>P506*3</f>
        <v>88705.20576000004</v>
      </c>
      <c r="L686" s="8">
        <f>P507*3</f>
        <v>37612.704</v>
      </c>
      <c r="M686" s="8">
        <f>P508*3</f>
        <v>44276.94336000002</v>
      </c>
      <c r="N686" s="8">
        <f>P509*3</f>
        <v>46498.35648000003</v>
      </c>
      <c r="O686" s="8">
        <f>P510*3</f>
        <v>62048.248319999984</v>
      </c>
      <c r="P686" s="114">
        <f t="shared" si="259"/>
        <v>895568.7060000001</v>
      </c>
      <c r="Q686" s="114"/>
    </row>
    <row r="687" spans="1:17" ht="12.75">
      <c r="A687" s="115" t="s">
        <v>117</v>
      </c>
      <c r="B687" s="115"/>
      <c r="C687" s="115"/>
      <c r="D687" s="8">
        <f>AO67*2</f>
        <v>45336.50575999997</v>
      </c>
      <c r="E687" s="8">
        <f>AO68*2</f>
        <v>45336.50575999997</v>
      </c>
      <c r="F687" s="8">
        <f>AO69*2</f>
        <v>45336.50575999997</v>
      </c>
      <c r="G687" s="8">
        <f>AO70*2</f>
        <v>45336.50575999997</v>
      </c>
      <c r="H687" s="8">
        <f>AO59*2</f>
        <v>45336.50576</v>
      </c>
      <c r="I687" s="8">
        <f>AO60*2</f>
        <v>45336.50576</v>
      </c>
      <c r="J687" s="8">
        <f>AO61*2</f>
        <v>45336.50576</v>
      </c>
      <c r="K687" s="8">
        <f>AO62*2</f>
        <v>45336.50576</v>
      </c>
      <c r="L687" s="8">
        <f>AO63*2</f>
        <v>45336.50576</v>
      </c>
      <c r="M687" s="8">
        <f>AO64*2</f>
        <v>45336.50576</v>
      </c>
      <c r="N687" s="8">
        <f>AO65*2</f>
        <v>45336.505760000044</v>
      </c>
      <c r="O687" s="8">
        <f>AO66*2</f>
        <v>45336.50575999997</v>
      </c>
      <c r="P687" s="114">
        <f t="shared" si="259"/>
        <v>544038.0691199999</v>
      </c>
      <c r="Q687" s="114"/>
    </row>
    <row r="688" spans="1:17" ht="12.75">
      <c r="A688" s="115" t="s">
        <v>118</v>
      </c>
      <c r="B688" s="115"/>
      <c r="C688" s="115"/>
      <c r="D688" s="8">
        <f>AO82*2</f>
        <v>39607.16712000002</v>
      </c>
      <c r="E688" s="8">
        <f>AO83*2</f>
        <v>39607.16712000002</v>
      </c>
      <c r="F688" s="8">
        <f>AO84*2</f>
        <v>39607.16712000002</v>
      </c>
      <c r="G688" s="8">
        <f>AO85*2</f>
        <v>39607.16712000002</v>
      </c>
      <c r="H688" s="8">
        <f>AO74*2</f>
        <v>39607.16712</v>
      </c>
      <c r="I688" s="8">
        <f>AO75*2</f>
        <v>39607.16712</v>
      </c>
      <c r="J688" s="8">
        <f>AO76*2</f>
        <v>39607.16712</v>
      </c>
      <c r="K688" s="8">
        <f>AO77*2</f>
        <v>39607.16712</v>
      </c>
      <c r="L688" s="8">
        <f>AO78*2</f>
        <v>39607.16712000002</v>
      </c>
      <c r="M688" s="8">
        <f>AO79*2</f>
        <v>39607.16712000002</v>
      </c>
      <c r="N688" s="8">
        <f>AO80*2</f>
        <v>39607.16712000002</v>
      </c>
      <c r="O688" s="8">
        <f>AO81*2</f>
        <v>39607.16712000002</v>
      </c>
      <c r="P688" s="114">
        <f t="shared" si="259"/>
        <v>475286.0054400001</v>
      </c>
      <c r="Q688" s="114"/>
    </row>
    <row r="689" spans="1:17" ht="12.75">
      <c r="A689" s="126" t="s">
        <v>50</v>
      </c>
      <c r="B689" s="126"/>
      <c r="C689" s="126"/>
      <c r="D689" s="9">
        <f aca="true" t="shared" si="260" ref="D689:O689">D688+D687+D686+D685+D684+D683+D682+D681</f>
        <v>355237.8513319999</v>
      </c>
      <c r="E689" s="9">
        <f t="shared" si="260"/>
        <v>376361.4778565001</v>
      </c>
      <c r="F689" s="9">
        <f t="shared" si="260"/>
        <v>401925.72218000004</v>
      </c>
      <c r="G689" s="9">
        <f t="shared" si="260"/>
        <v>423836.07651499996</v>
      </c>
      <c r="H689" s="9">
        <f t="shared" si="260"/>
        <v>561612.6317200001</v>
      </c>
      <c r="I689" s="9">
        <f t="shared" si="260"/>
        <v>561612.6317200001</v>
      </c>
      <c r="J689" s="9">
        <f t="shared" si="260"/>
        <v>523232.59514800005</v>
      </c>
      <c r="K689" s="9">
        <f t="shared" si="260"/>
        <v>508588.6546280001</v>
      </c>
      <c r="L689" s="9">
        <f t="shared" si="260"/>
        <v>359760.1523000001</v>
      </c>
      <c r="M689" s="9">
        <f t="shared" si="260"/>
        <v>374888.01750800014</v>
      </c>
      <c r="N689" s="9">
        <f t="shared" si="260"/>
        <v>366846.3682040002</v>
      </c>
      <c r="O689" s="9">
        <f t="shared" si="260"/>
        <v>453396.3958759998</v>
      </c>
      <c r="P689" s="114">
        <f t="shared" si="259"/>
        <v>5267298.5749875</v>
      </c>
      <c r="Q689" s="114"/>
    </row>
    <row r="690" spans="1:17" ht="12.75">
      <c r="A690" s="127" t="s">
        <v>132</v>
      </c>
      <c r="B690" s="128"/>
      <c r="C690" s="128"/>
      <c r="D690" s="128"/>
      <c r="E690" s="128"/>
      <c r="F690" s="128"/>
      <c r="G690" s="128"/>
      <c r="H690" s="128"/>
      <c r="I690" s="128"/>
      <c r="J690" s="128"/>
      <c r="K690" s="128"/>
      <c r="L690" s="128"/>
      <c r="M690" s="128"/>
      <c r="N690" s="128"/>
      <c r="O690" s="128"/>
      <c r="P690" s="128"/>
      <c r="Q690" s="129"/>
    </row>
    <row r="691" spans="1:17" ht="12.75">
      <c r="A691" s="116" t="s">
        <v>115</v>
      </c>
      <c r="B691" s="117"/>
      <c r="C691" s="118"/>
      <c r="D691" s="115" t="s">
        <v>26</v>
      </c>
      <c r="E691" s="115"/>
      <c r="F691" s="115"/>
      <c r="G691" s="115"/>
      <c r="H691" s="115"/>
      <c r="I691" s="115"/>
      <c r="J691" s="115"/>
      <c r="K691" s="115"/>
      <c r="L691" s="115"/>
      <c r="M691" s="115"/>
      <c r="N691" s="115"/>
      <c r="O691" s="115"/>
      <c r="P691" s="122" t="s">
        <v>58</v>
      </c>
      <c r="Q691" s="123"/>
    </row>
    <row r="692" spans="1:17" ht="12.75">
      <c r="A692" s="119"/>
      <c r="B692" s="120"/>
      <c r="C692" s="121"/>
      <c r="D692" s="12">
        <v>48092</v>
      </c>
      <c r="E692" s="12">
        <v>48122</v>
      </c>
      <c r="F692" s="12">
        <v>48153</v>
      </c>
      <c r="G692" s="12">
        <v>48183</v>
      </c>
      <c r="H692" s="12">
        <v>48214</v>
      </c>
      <c r="I692" s="12">
        <v>48245</v>
      </c>
      <c r="J692" s="12">
        <v>48274</v>
      </c>
      <c r="K692" s="12">
        <v>48305</v>
      </c>
      <c r="L692" s="12">
        <v>48335</v>
      </c>
      <c r="M692" s="12">
        <v>48366</v>
      </c>
      <c r="N692" s="12">
        <v>48396</v>
      </c>
      <c r="O692" s="12">
        <v>48427</v>
      </c>
      <c r="P692" s="124"/>
      <c r="Q692" s="125"/>
    </row>
    <row r="693" spans="1:17" ht="12.75">
      <c r="A693" s="115" t="s">
        <v>108</v>
      </c>
      <c r="B693" s="115"/>
      <c r="C693" s="115"/>
      <c r="D693" s="8">
        <f>AO37</f>
        <v>51931.51398000002</v>
      </c>
      <c r="E693" s="8">
        <f>AO38</f>
        <v>51931.51398000002</v>
      </c>
      <c r="F693" s="8">
        <f>AO39</f>
        <v>51931.51398000002</v>
      </c>
      <c r="G693" s="8">
        <f>AO40</f>
        <v>51931.51398000002</v>
      </c>
      <c r="H693" s="8">
        <f>AO29</f>
        <v>102505.34132</v>
      </c>
      <c r="I693" s="8">
        <f>AO30</f>
        <v>102505.34132</v>
      </c>
      <c r="J693" s="8">
        <f>AO31</f>
        <v>99423.6569</v>
      </c>
      <c r="K693" s="8">
        <f>AO32</f>
        <v>84779.71637999998</v>
      </c>
      <c r="L693" s="8">
        <f>AO33</f>
        <v>51931.51398000002</v>
      </c>
      <c r="M693" s="8">
        <f>AO34</f>
        <v>51931.51398000002</v>
      </c>
      <c r="N693" s="8">
        <f>AO35</f>
        <v>51931.51398000002</v>
      </c>
      <c r="O693" s="8">
        <f>AO36</f>
        <v>51931.51398000002</v>
      </c>
      <c r="P693" s="114">
        <f aca="true" t="shared" si="261" ref="P693:P701">O693+N693+M693+L693+K693+J693+I693+H693+G693+F693+E693+D693</f>
        <v>804666.1677600003</v>
      </c>
      <c r="Q693" s="114"/>
    </row>
    <row r="694" spans="1:17" ht="12.75">
      <c r="A694" s="115" t="s">
        <v>109</v>
      </c>
      <c r="B694" s="115"/>
      <c r="C694" s="115"/>
      <c r="D694" s="8">
        <f>AO52</f>
        <v>32561.15807999998</v>
      </c>
      <c r="E694" s="8">
        <f>AO53</f>
        <v>23220.895680000005</v>
      </c>
      <c r="F694" s="8">
        <f>AO54</f>
        <v>23220.895680000005</v>
      </c>
      <c r="G694" s="8">
        <f>AO55</f>
        <v>23220.895680000005</v>
      </c>
      <c r="H694" s="8">
        <f>AO44</f>
        <v>45834.70912</v>
      </c>
      <c r="I694" s="8">
        <f>AO45</f>
        <v>45834.70912</v>
      </c>
      <c r="J694" s="8">
        <f>AO46</f>
        <v>45834.70912</v>
      </c>
      <c r="K694" s="8">
        <f>AO47</f>
        <v>45834.70912</v>
      </c>
      <c r="L694" s="8">
        <f>AO48</f>
        <v>45834.709120000014</v>
      </c>
      <c r="M694" s="8">
        <f>AO49</f>
        <v>45834.709120000014</v>
      </c>
      <c r="N694" s="8">
        <f>AO50</f>
        <v>41473.28544000001</v>
      </c>
      <c r="O694" s="8">
        <f>AO51</f>
        <v>58557.17727999997</v>
      </c>
      <c r="P694" s="114">
        <f t="shared" si="261"/>
        <v>477262.56256000005</v>
      </c>
      <c r="Q694" s="114"/>
    </row>
    <row r="695" spans="1:17" ht="12.75">
      <c r="A695" s="115" t="s">
        <v>110</v>
      </c>
      <c r="B695" s="115"/>
      <c r="C695" s="115"/>
      <c r="D695" s="8">
        <f>AO52</f>
        <v>32561.15807999998</v>
      </c>
      <c r="E695" s="8">
        <f>AO53</f>
        <v>23220.895680000005</v>
      </c>
      <c r="F695" s="8">
        <f>AO54</f>
        <v>23220.895680000005</v>
      </c>
      <c r="G695" s="8">
        <f>AO55</f>
        <v>23220.895680000005</v>
      </c>
      <c r="H695" s="8">
        <f>AO44</f>
        <v>45834.70912</v>
      </c>
      <c r="I695" s="8">
        <f>AO45</f>
        <v>45834.70912</v>
      </c>
      <c r="J695" s="8">
        <f>AO46</f>
        <v>45834.70912</v>
      </c>
      <c r="K695" s="8">
        <f>AO47</f>
        <v>45834.70912</v>
      </c>
      <c r="L695" s="8">
        <f>AO48</f>
        <v>45834.709120000014</v>
      </c>
      <c r="M695" s="8">
        <f>AO49</f>
        <v>45834.709120000014</v>
      </c>
      <c r="N695" s="8">
        <f>AO50</f>
        <v>41473.28544000001</v>
      </c>
      <c r="O695" s="8">
        <f>AO51</f>
        <v>58557.17727999997</v>
      </c>
      <c r="P695" s="114">
        <f t="shared" si="261"/>
        <v>477262.56256000005</v>
      </c>
      <c r="Q695" s="114"/>
    </row>
    <row r="696" spans="1:17" ht="12.75">
      <c r="A696" s="115" t="s">
        <v>113</v>
      </c>
      <c r="B696" s="115"/>
      <c r="C696" s="115"/>
      <c r="D696" s="8">
        <f>AO52</f>
        <v>32561.15807999998</v>
      </c>
      <c r="E696" s="8">
        <f>AO53</f>
        <v>23220.895680000005</v>
      </c>
      <c r="F696" s="8">
        <f>AO54</f>
        <v>23220.895680000005</v>
      </c>
      <c r="G696" s="8">
        <f>AO55</f>
        <v>23220.895680000005</v>
      </c>
      <c r="H696" s="8">
        <f>AO44</f>
        <v>45834.70912</v>
      </c>
      <c r="I696" s="8">
        <f>AO45</f>
        <v>45834.70912</v>
      </c>
      <c r="J696" s="8">
        <f>AO46</f>
        <v>45834.70912</v>
      </c>
      <c r="K696" s="8">
        <f>AO47</f>
        <v>45834.70912</v>
      </c>
      <c r="L696" s="8">
        <f>AO48</f>
        <v>45834.709120000014</v>
      </c>
      <c r="M696" s="8">
        <f>AO49</f>
        <v>45834.709120000014</v>
      </c>
      <c r="N696" s="8">
        <f>AO50</f>
        <v>41473.28544000001</v>
      </c>
      <c r="O696" s="8">
        <f>AO51</f>
        <v>58557.17727999997</v>
      </c>
      <c r="P696" s="114">
        <f t="shared" si="261"/>
        <v>477262.56256000005</v>
      </c>
      <c r="Q696" s="114"/>
    </row>
    <row r="697" spans="1:17" ht="12.75">
      <c r="A697" s="115" t="s">
        <v>122</v>
      </c>
      <c r="B697" s="115"/>
      <c r="C697" s="115"/>
      <c r="D697" s="8">
        <f>P324*3</f>
        <v>67516.59439199997</v>
      </c>
      <c r="E697" s="8">
        <f>P325*3</f>
        <v>92225.46379650003</v>
      </c>
      <c r="F697" s="8">
        <f>P326*3</f>
        <v>104461.22940000001</v>
      </c>
      <c r="G697" s="8">
        <f>P327*3</f>
        <v>119773.71037499991</v>
      </c>
      <c r="H697" s="8">
        <f>P329*3</f>
        <v>132404.39256</v>
      </c>
      <c r="I697" s="8">
        <f>P330*3</f>
        <v>132404.39256</v>
      </c>
      <c r="J697" s="8">
        <f>P331*3</f>
        <v>112655.932248</v>
      </c>
      <c r="K697" s="8">
        <f>P332*3</f>
        <v>112655.932248</v>
      </c>
      <c r="L697" s="8">
        <f>P333*3</f>
        <v>47768.134079999974</v>
      </c>
      <c r="M697" s="8">
        <f>P334*3</f>
        <v>56231.759928000014</v>
      </c>
      <c r="N697" s="8">
        <f>P335*3</f>
        <v>59052.96854400003</v>
      </c>
      <c r="O697" s="8">
        <f>P336*3</f>
        <v>78801.42885600003</v>
      </c>
      <c r="P697" s="114">
        <f t="shared" si="261"/>
        <v>1115951.9389874998</v>
      </c>
      <c r="Q697" s="114"/>
    </row>
    <row r="698" spans="1:17" ht="12.75">
      <c r="A698" s="115" t="s">
        <v>123</v>
      </c>
      <c r="B698" s="115"/>
      <c r="C698" s="115"/>
      <c r="D698" s="8">
        <f>P512*3</f>
        <v>53162.59583999995</v>
      </c>
      <c r="E698" s="8">
        <f>P513*3</f>
        <v>77598.14015999994</v>
      </c>
      <c r="F698" s="8">
        <f>P514*3</f>
        <v>90926.61888</v>
      </c>
      <c r="G698" s="8">
        <f>P515*3</f>
        <v>97524.49224000002</v>
      </c>
      <c r="H698" s="8">
        <f>P517*3</f>
        <v>104255.09760000001</v>
      </c>
      <c r="I698" s="8">
        <f>P518*3</f>
        <v>104255.09760000001</v>
      </c>
      <c r="J698" s="8">
        <f>P519*3</f>
        <v>88705.20576000001</v>
      </c>
      <c r="K698" s="8">
        <f>P520*3</f>
        <v>88705.20576000004</v>
      </c>
      <c r="L698" s="8">
        <f>P521*3</f>
        <v>37612.704</v>
      </c>
      <c r="M698" s="8">
        <f>P522*3</f>
        <v>44276.94336000002</v>
      </c>
      <c r="N698" s="8">
        <f>P523*3</f>
        <v>46498.35648000003</v>
      </c>
      <c r="O698" s="8">
        <f>P524*3</f>
        <v>62048.248319999984</v>
      </c>
      <c r="P698" s="114">
        <f t="shared" si="261"/>
        <v>895568.706</v>
      </c>
      <c r="Q698" s="114"/>
    </row>
    <row r="699" spans="1:17" ht="12.75">
      <c r="A699" s="115" t="s">
        <v>117</v>
      </c>
      <c r="B699" s="115"/>
      <c r="C699" s="115"/>
      <c r="D699" s="8">
        <f>AO67*2</f>
        <v>45336.50575999997</v>
      </c>
      <c r="E699" s="8">
        <f>AO68*2</f>
        <v>45336.50575999997</v>
      </c>
      <c r="F699" s="8">
        <f>AO69*2</f>
        <v>45336.50575999997</v>
      </c>
      <c r="G699" s="8">
        <f>AO70*2</f>
        <v>45336.50575999997</v>
      </c>
      <c r="H699" s="8">
        <f>AO59*2</f>
        <v>45336.50576</v>
      </c>
      <c r="I699" s="8">
        <f>AO60*2</f>
        <v>45336.50576</v>
      </c>
      <c r="J699" s="8">
        <f>AO61*2</f>
        <v>45336.50576</v>
      </c>
      <c r="K699" s="8">
        <f>AO62*2</f>
        <v>45336.50576</v>
      </c>
      <c r="L699" s="8">
        <f>AO63*2</f>
        <v>45336.50576</v>
      </c>
      <c r="M699" s="8">
        <f>AO64*2</f>
        <v>45336.50576</v>
      </c>
      <c r="N699" s="8">
        <f>AO65*2</f>
        <v>45336.505760000044</v>
      </c>
      <c r="O699" s="8">
        <f>AO66*2</f>
        <v>45336.50575999997</v>
      </c>
      <c r="P699" s="114">
        <f t="shared" si="261"/>
        <v>544038.0691199999</v>
      </c>
      <c r="Q699" s="114"/>
    </row>
    <row r="700" spans="1:17" ht="12.75">
      <c r="A700" s="115" t="s">
        <v>118</v>
      </c>
      <c r="B700" s="115"/>
      <c r="C700" s="115"/>
      <c r="D700" s="8">
        <f>AO82*2</f>
        <v>39607.16712000002</v>
      </c>
      <c r="E700" s="8">
        <f>AO83*2</f>
        <v>39607.16712000002</v>
      </c>
      <c r="F700" s="8">
        <f>AO84*2</f>
        <v>39607.16712000002</v>
      </c>
      <c r="G700" s="8">
        <f>AO85*2</f>
        <v>39607.16712000002</v>
      </c>
      <c r="H700" s="8">
        <f>AO74*2</f>
        <v>39607.16712</v>
      </c>
      <c r="I700" s="8">
        <f>AO75*2</f>
        <v>39607.16712</v>
      </c>
      <c r="J700" s="8">
        <f>AO76*2</f>
        <v>39607.16712</v>
      </c>
      <c r="K700" s="8">
        <f>AO77*2</f>
        <v>39607.16712</v>
      </c>
      <c r="L700" s="8">
        <f>AO78*2</f>
        <v>39607.16712000002</v>
      </c>
      <c r="M700" s="8">
        <f>AO79*2</f>
        <v>39607.16712000002</v>
      </c>
      <c r="N700" s="8">
        <f>AO80*2</f>
        <v>39607.16712000002</v>
      </c>
      <c r="O700" s="8">
        <f>AO81*2</f>
        <v>39607.16712000002</v>
      </c>
      <c r="P700" s="114">
        <f t="shared" si="261"/>
        <v>475286.0054400001</v>
      </c>
      <c r="Q700" s="114"/>
    </row>
    <row r="701" spans="1:17" ht="12.75">
      <c r="A701" s="126" t="s">
        <v>50</v>
      </c>
      <c r="B701" s="126"/>
      <c r="C701" s="126"/>
      <c r="D701" s="9">
        <f aca="true" t="shared" si="262" ref="D701:O701">D700+D699+D698+D697+D696+D695+D694+D693</f>
        <v>355237.8513319999</v>
      </c>
      <c r="E701" s="9">
        <f t="shared" si="262"/>
        <v>376361.47785649996</v>
      </c>
      <c r="F701" s="9">
        <f t="shared" si="262"/>
        <v>401925.72218000004</v>
      </c>
      <c r="G701" s="9">
        <f t="shared" si="262"/>
        <v>423836.07651499996</v>
      </c>
      <c r="H701" s="9">
        <f t="shared" si="262"/>
        <v>561612.6317200001</v>
      </c>
      <c r="I701" s="9">
        <f t="shared" si="262"/>
        <v>561612.6317200001</v>
      </c>
      <c r="J701" s="9">
        <f t="shared" si="262"/>
        <v>523232.59514800005</v>
      </c>
      <c r="K701" s="9">
        <f t="shared" si="262"/>
        <v>508588.6546280001</v>
      </c>
      <c r="L701" s="9">
        <f t="shared" si="262"/>
        <v>359760.1523000001</v>
      </c>
      <c r="M701" s="9">
        <f t="shared" si="262"/>
        <v>374888.01750800014</v>
      </c>
      <c r="N701" s="9">
        <f t="shared" si="262"/>
        <v>366846.3682040002</v>
      </c>
      <c r="O701" s="9">
        <f t="shared" si="262"/>
        <v>453396.3958759998</v>
      </c>
      <c r="P701" s="114">
        <f t="shared" si="261"/>
        <v>5267298.5749875</v>
      </c>
      <c r="Q701" s="114"/>
    </row>
    <row r="702" spans="1:17" ht="12.75">
      <c r="A702" s="127" t="s">
        <v>133</v>
      </c>
      <c r="B702" s="128"/>
      <c r="C702" s="128"/>
      <c r="D702" s="128"/>
      <c r="E702" s="128"/>
      <c r="F702" s="128"/>
      <c r="G702" s="128"/>
      <c r="H702" s="128"/>
      <c r="I702" s="128"/>
      <c r="J702" s="128"/>
      <c r="K702" s="128"/>
      <c r="L702" s="128"/>
      <c r="M702" s="128"/>
      <c r="N702" s="128"/>
      <c r="O702" s="128"/>
      <c r="P702" s="128"/>
      <c r="Q702" s="129"/>
    </row>
    <row r="703" spans="1:17" ht="12.75">
      <c r="A703" s="116" t="s">
        <v>115</v>
      </c>
      <c r="B703" s="117"/>
      <c r="C703" s="118"/>
      <c r="D703" s="115" t="s">
        <v>26</v>
      </c>
      <c r="E703" s="115"/>
      <c r="F703" s="115"/>
      <c r="G703" s="115"/>
      <c r="H703" s="115"/>
      <c r="I703" s="115"/>
      <c r="J703" s="115"/>
      <c r="K703" s="115"/>
      <c r="L703" s="115"/>
      <c r="M703" s="115"/>
      <c r="N703" s="115"/>
      <c r="O703" s="115"/>
      <c r="P703" s="122" t="s">
        <v>58</v>
      </c>
      <c r="Q703" s="123"/>
    </row>
    <row r="704" spans="1:17" ht="12.75">
      <c r="A704" s="119"/>
      <c r="B704" s="120"/>
      <c r="C704" s="121"/>
      <c r="D704" s="12">
        <v>48458</v>
      </c>
      <c r="E704" s="12">
        <v>48488</v>
      </c>
      <c r="F704" s="12">
        <v>48519</v>
      </c>
      <c r="G704" s="12">
        <v>48549</v>
      </c>
      <c r="H704" s="12">
        <v>48580</v>
      </c>
      <c r="I704" s="12">
        <v>48611</v>
      </c>
      <c r="J704" s="12">
        <v>48639</v>
      </c>
      <c r="K704" s="12">
        <v>48670</v>
      </c>
      <c r="L704" s="12">
        <v>48700</v>
      </c>
      <c r="M704" s="12">
        <v>48731</v>
      </c>
      <c r="N704" s="12">
        <v>48761</v>
      </c>
      <c r="O704" s="12">
        <v>48792</v>
      </c>
      <c r="P704" s="124"/>
      <c r="Q704" s="125"/>
    </row>
    <row r="705" spans="1:17" ht="12.75">
      <c r="A705" s="115" t="s">
        <v>108</v>
      </c>
      <c r="B705" s="115"/>
      <c r="C705" s="115"/>
      <c r="D705" s="8">
        <f>AO37</f>
        <v>51931.51398000002</v>
      </c>
      <c r="E705" s="8">
        <f>AO38</f>
        <v>51931.51398000002</v>
      </c>
      <c r="F705" s="8">
        <f>AO39</f>
        <v>51931.51398000002</v>
      </c>
      <c r="G705" s="8">
        <f>AO40</f>
        <v>51931.51398000002</v>
      </c>
      <c r="H705" s="8">
        <f>AO29</f>
        <v>102505.34132</v>
      </c>
      <c r="I705" s="8">
        <f>AO30</f>
        <v>102505.34132</v>
      </c>
      <c r="J705" s="8">
        <f>AO31</f>
        <v>99423.6569</v>
      </c>
      <c r="K705" s="8">
        <f>AO32</f>
        <v>84779.71637999998</v>
      </c>
      <c r="L705" s="8">
        <f>AO33</f>
        <v>51931.51398000002</v>
      </c>
      <c r="M705" s="8">
        <f>AO34</f>
        <v>51931.51398000002</v>
      </c>
      <c r="N705" s="8">
        <f>AO35</f>
        <v>51931.51398000002</v>
      </c>
      <c r="O705" s="8">
        <f>AO36</f>
        <v>51931.51398000002</v>
      </c>
      <c r="P705" s="114">
        <f aca="true" t="shared" si="263" ref="P705:P713">O705+N705+M705+L705+K705+J705+I705+H705+G705+F705+E705+D705</f>
        <v>804666.1677600003</v>
      </c>
      <c r="Q705" s="114"/>
    </row>
    <row r="706" spans="1:17" ht="12.75">
      <c r="A706" s="115" t="s">
        <v>109</v>
      </c>
      <c r="B706" s="115"/>
      <c r="C706" s="115"/>
      <c r="D706" s="8">
        <f>AO52</f>
        <v>32561.15807999998</v>
      </c>
      <c r="E706" s="8">
        <f>AO53</f>
        <v>23220.895680000005</v>
      </c>
      <c r="F706" s="8">
        <f>AO54</f>
        <v>23220.895680000005</v>
      </c>
      <c r="G706" s="8">
        <f>AO55</f>
        <v>23220.895680000005</v>
      </c>
      <c r="H706" s="8">
        <f>AO44</f>
        <v>45834.70912</v>
      </c>
      <c r="I706" s="8">
        <f>AO45</f>
        <v>45834.70912</v>
      </c>
      <c r="J706" s="8">
        <f>AO46</f>
        <v>45834.70912</v>
      </c>
      <c r="K706" s="8">
        <f>AO47</f>
        <v>45834.70912</v>
      </c>
      <c r="L706" s="8">
        <f>AO48</f>
        <v>45834.709120000014</v>
      </c>
      <c r="M706" s="8">
        <f>AO49</f>
        <v>45834.709120000014</v>
      </c>
      <c r="N706" s="8">
        <f>AO50</f>
        <v>41473.28544000001</v>
      </c>
      <c r="O706" s="8">
        <f>AO51</f>
        <v>58557.17727999997</v>
      </c>
      <c r="P706" s="114">
        <f t="shared" si="263"/>
        <v>477262.56256000005</v>
      </c>
      <c r="Q706" s="114"/>
    </row>
    <row r="707" spans="1:17" ht="12.75">
      <c r="A707" s="115" t="s">
        <v>110</v>
      </c>
      <c r="B707" s="115"/>
      <c r="C707" s="115"/>
      <c r="D707" s="8">
        <f>AO52</f>
        <v>32561.15807999998</v>
      </c>
      <c r="E707" s="8">
        <f>AO53</f>
        <v>23220.895680000005</v>
      </c>
      <c r="F707" s="8">
        <f>AO54</f>
        <v>23220.895680000005</v>
      </c>
      <c r="G707" s="8">
        <f>AO55</f>
        <v>23220.895680000005</v>
      </c>
      <c r="H707" s="8">
        <f>AO44</f>
        <v>45834.70912</v>
      </c>
      <c r="I707" s="8">
        <f>AO45</f>
        <v>45834.70912</v>
      </c>
      <c r="J707" s="8">
        <f>AO46</f>
        <v>45834.70912</v>
      </c>
      <c r="K707" s="8">
        <f>AO47</f>
        <v>45834.70912</v>
      </c>
      <c r="L707" s="8">
        <f>AO48</f>
        <v>45834.709120000014</v>
      </c>
      <c r="M707" s="8">
        <f>AO49</f>
        <v>45834.709120000014</v>
      </c>
      <c r="N707" s="8">
        <f>AO50</f>
        <v>41473.28544000001</v>
      </c>
      <c r="O707" s="8">
        <f>AO51</f>
        <v>58557.17727999997</v>
      </c>
      <c r="P707" s="114">
        <f t="shared" si="263"/>
        <v>477262.56256000005</v>
      </c>
      <c r="Q707" s="114"/>
    </row>
    <row r="708" spans="1:17" ht="12.75">
      <c r="A708" s="115" t="s">
        <v>113</v>
      </c>
      <c r="B708" s="115"/>
      <c r="C708" s="115"/>
      <c r="D708" s="8">
        <f>AO52</f>
        <v>32561.15807999998</v>
      </c>
      <c r="E708" s="8">
        <f>AO53</f>
        <v>23220.895680000005</v>
      </c>
      <c r="F708" s="8">
        <f>AO54</f>
        <v>23220.895680000005</v>
      </c>
      <c r="G708" s="8">
        <f>AO55</f>
        <v>23220.895680000005</v>
      </c>
      <c r="H708" s="8">
        <f>AO44</f>
        <v>45834.70912</v>
      </c>
      <c r="I708" s="8">
        <f>AO45</f>
        <v>45834.70912</v>
      </c>
      <c r="J708" s="8">
        <f>AO46</f>
        <v>45834.70912</v>
      </c>
      <c r="K708" s="8">
        <f>AO47</f>
        <v>45834.70912</v>
      </c>
      <c r="L708" s="8">
        <f>AO48</f>
        <v>45834.709120000014</v>
      </c>
      <c r="M708" s="8">
        <f>AO49</f>
        <v>45834.709120000014</v>
      </c>
      <c r="N708" s="8">
        <f>AO50</f>
        <v>41473.28544000001</v>
      </c>
      <c r="O708" s="8">
        <f>AO51</f>
        <v>58557.17727999997</v>
      </c>
      <c r="P708" s="114">
        <f t="shared" si="263"/>
        <v>477262.56256000005</v>
      </c>
      <c r="Q708" s="114"/>
    </row>
    <row r="709" spans="1:17" ht="12.75">
      <c r="A709" s="115" t="s">
        <v>122</v>
      </c>
      <c r="B709" s="115"/>
      <c r="C709" s="115"/>
      <c r="D709" s="8">
        <f>P338*3</f>
        <v>70337.80300799999</v>
      </c>
      <c r="E709" s="8">
        <f>P339*3</f>
        <v>89404.25518050001</v>
      </c>
      <c r="F709" s="8">
        <f>P340*3</f>
        <v>104461.22940000001</v>
      </c>
      <c r="G709" s="8">
        <f>P341*3</f>
        <v>119773.71037499991</v>
      </c>
      <c r="H709" s="8">
        <f>P343*3</f>
        <v>132404.39256</v>
      </c>
      <c r="I709" s="8">
        <f>P344*3</f>
        <v>132404.39256</v>
      </c>
      <c r="J709" s="8">
        <f>P345*3</f>
        <v>112655.932248</v>
      </c>
      <c r="K709" s="8">
        <f>P346*3</f>
        <v>112655.932248</v>
      </c>
      <c r="L709" s="8">
        <f>P347*3</f>
        <v>47768.134079999974</v>
      </c>
      <c r="M709" s="8">
        <f>P348*3</f>
        <v>59052.96854400003</v>
      </c>
      <c r="N709" s="8">
        <f>P349*3</f>
        <v>56231.759928000014</v>
      </c>
      <c r="O709" s="8">
        <f>P350*3</f>
        <v>78801.42885600003</v>
      </c>
      <c r="P709" s="114">
        <f t="shared" si="263"/>
        <v>1115951.9389874998</v>
      </c>
      <c r="Q709" s="114"/>
    </row>
    <row r="710" spans="1:17" ht="12.75">
      <c r="A710" s="115" t="s">
        <v>123</v>
      </c>
      <c r="B710" s="115"/>
      <c r="C710" s="115"/>
      <c r="D710" s="8">
        <f>P526*3</f>
        <v>55384.00895999996</v>
      </c>
      <c r="E710" s="8">
        <f>P527*3</f>
        <v>75376.72703999994</v>
      </c>
      <c r="F710" s="8">
        <f>P528*3</f>
        <v>90926.61888</v>
      </c>
      <c r="G710" s="8">
        <f>P529*3</f>
        <v>97524.49224000002</v>
      </c>
      <c r="H710" s="8">
        <f>P531*3</f>
        <v>104255.09760000001</v>
      </c>
      <c r="I710" s="8">
        <f>P532*3</f>
        <v>104255.09760000001</v>
      </c>
      <c r="J710" s="8">
        <f>P533*3</f>
        <v>88705.20576000001</v>
      </c>
      <c r="K710" s="8">
        <f>P534*3</f>
        <v>88705.20576000004</v>
      </c>
      <c r="L710" s="8">
        <f>P535*3</f>
        <v>37612.704</v>
      </c>
      <c r="M710" s="8">
        <f>P536*3</f>
        <v>46498.35647999999</v>
      </c>
      <c r="N710" s="8">
        <f>P537*3</f>
        <v>44276.943359999976</v>
      </c>
      <c r="O710" s="8">
        <f>P538*3</f>
        <v>62048.248319999984</v>
      </c>
      <c r="P710" s="114">
        <f t="shared" si="263"/>
        <v>895568.7059999999</v>
      </c>
      <c r="Q710" s="114"/>
    </row>
    <row r="711" spans="1:17" ht="12.75">
      <c r="A711" s="115" t="s">
        <v>117</v>
      </c>
      <c r="B711" s="115"/>
      <c r="C711" s="115"/>
      <c r="D711" s="8">
        <f>AO67*2</f>
        <v>45336.50575999997</v>
      </c>
      <c r="E711" s="8">
        <f>AO68*2</f>
        <v>45336.50575999997</v>
      </c>
      <c r="F711" s="8">
        <f>AO69*2</f>
        <v>45336.50575999997</v>
      </c>
      <c r="G711" s="8">
        <f>AO70*2</f>
        <v>45336.50575999997</v>
      </c>
      <c r="H711" s="8">
        <f>AO59*2</f>
        <v>45336.50576</v>
      </c>
      <c r="I711" s="8">
        <f>AO60*2</f>
        <v>45336.50576</v>
      </c>
      <c r="J711" s="8">
        <f>AO61*2</f>
        <v>45336.50576</v>
      </c>
      <c r="K711" s="8">
        <f>AO62*2</f>
        <v>45336.50576</v>
      </c>
      <c r="L711" s="8">
        <f>AO63*2</f>
        <v>45336.50576</v>
      </c>
      <c r="M711" s="8">
        <f>AO64*2</f>
        <v>45336.50576</v>
      </c>
      <c r="N711" s="8">
        <f>AO65*2</f>
        <v>45336.505760000044</v>
      </c>
      <c r="O711" s="8">
        <f>AO66*2</f>
        <v>45336.50575999997</v>
      </c>
      <c r="P711" s="114">
        <f t="shared" si="263"/>
        <v>544038.0691199999</v>
      </c>
      <c r="Q711" s="114"/>
    </row>
    <row r="712" spans="1:17" ht="12.75">
      <c r="A712" s="115" t="s">
        <v>118</v>
      </c>
      <c r="B712" s="115"/>
      <c r="C712" s="115"/>
      <c r="D712" s="8">
        <f>AO82*2</f>
        <v>39607.16712000002</v>
      </c>
      <c r="E712" s="8">
        <f>AO83*2</f>
        <v>39607.16712000002</v>
      </c>
      <c r="F712" s="8">
        <f>AO84*2</f>
        <v>39607.16712000002</v>
      </c>
      <c r="G712" s="8">
        <f>AO85*2</f>
        <v>39607.16712000002</v>
      </c>
      <c r="H712" s="8">
        <f>AO74*2</f>
        <v>39607.16712</v>
      </c>
      <c r="I712" s="8">
        <f>AO75*2</f>
        <v>39607.16712</v>
      </c>
      <c r="J712" s="8">
        <f>AO76*2</f>
        <v>39607.16712</v>
      </c>
      <c r="K712" s="8">
        <f>AO77*2</f>
        <v>39607.16712</v>
      </c>
      <c r="L712" s="8">
        <f>AO78*2</f>
        <v>39607.16712000002</v>
      </c>
      <c r="M712" s="8">
        <f>AO79*2</f>
        <v>39607.16712000002</v>
      </c>
      <c r="N712" s="8">
        <f>AO80*2</f>
        <v>39607.16712000002</v>
      </c>
      <c r="O712" s="8">
        <f>AO81*2</f>
        <v>39607.16712000002</v>
      </c>
      <c r="P712" s="114">
        <f t="shared" si="263"/>
        <v>475286.0054400001</v>
      </c>
      <c r="Q712" s="114"/>
    </row>
    <row r="713" spans="1:17" ht="12.75">
      <c r="A713" s="126" t="s">
        <v>50</v>
      </c>
      <c r="B713" s="126"/>
      <c r="C713" s="126"/>
      <c r="D713" s="9">
        <f aca="true" t="shared" si="264" ref="D713:O713">D712+D711+D710+D709+D708+D707+D706+D705</f>
        <v>360280.47306799993</v>
      </c>
      <c r="E713" s="9">
        <f t="shared" si="264"/>
        <v>371318.8561205</v>
      </c>
      <c r="F713" s="9">
        <f t="shared" si="264"/>
        <v>401925.72218000004</v>
      </c>
      <c r="G713" s="9">
        <f t="shared" si="264"/>
        <v>423836.07651499996</v>
      </c>
      <c r="H713" s="9">
        <f t="shared" si="264"/>
        <v>561612.6317200001</v>
      </c>
      <c r="I713" s="9">
        <f t="shared" si="264"/>
        <v>561612.6317200001</v>
      </c>
      <c r="J713" s="9">
        <f t="shared" si="264"/>
        <v>523232.59514800005</v>
      </c>
      <c r="K713" s="9">
        <f t="shared" si="264"/>
        <v>508588.6546280001</v>
      </c>
      <c r="L713" s="9">
        <f t="shared" si="264"/>
        <v>359760.1523000001</v>
      </c>
      <c r="M713" s="9">
        <f t="shared" si="264"/>
        <v>379930.6392440001</v>
      </c>
      <c r="N713" s="9">
        <f t="shared" si="264"/>
        <v>361803.7464680001</v>
      </c>
      <c r="O713" s="9">
        <f t="shared" si="264"/>
        <v>453396.3958759998</v>
      </c>
      <c r="P713" s="114">
        <f t="shared" si="263"/>
        <v>5267298.574987499</v>
      </c>
      <c r="Q713" s="114"/>
    </row>
    <row r="714" spans="1:17" ht="12.75">
      <c r="A714" s="127" t="s">
        <v>134</v>
      </c>
      <c r="B714" s="128"/>
      <c r="C714" s="128"/>
      <c r="D714" s="128"/>
      <c r="E714" s="128"/>
      <c r="F714" s="128"/>
      <c r="G714" s="128"/>
      <c r="H714" s="128"/>
      <c r="I714" s="128"/>
      <c r="J714" s="128"/>
      <c r="K714" s="128"/>
      <c r="L714" s="128"/>
      <c r="M714" s="128"/>
      <c r="N714" s="128"/>
      <c r="O714" s="128"/>
      <c r="P714" s="128"/>
      <c r="Q714" s="129"/>
    </row>
    <row r="715" spans="1:17" ht="12.75">
      <c r="A715" s="116" t="s">
        <v>115</v>
      </c>
      <c r="B715" s="117"/>
      <c r="C715" s="118"/>
      <c r="D715" s="115" t="s">
        <v>26</v>
      </c>
      <c r="E715" s="115"/>
      <c r="F715" s="115"/>
      <c r="G715" s="115"/>
      <c r="H715" s="115"/>
      <c r="I715" s="115"/>
      <c r="J715" s="115"/>
      <c r="K715" s="115"/>
      <c r="L715" s="115"/>
      <c r="M715" s="115"/>
      <c r="N715" s="115"/>
      <c r="O715" s="115"/>
      <c r="P715" s="122" t="s">
        <v>58</v>
      </c>
      <c r="Q715" s="123"/>
    </row>
    <row r="716" spans="1:17" ht="12.75">
      <c r="A716" s="119"/>
      <c r="B716" s="120"/>
      <c r="C716" s="121"/>
      <c r="D716" s="12">
        <v>48823</v>
      </c>
      <c r="E716" s="12">
        <v>48853</v>
      </c>
      <c r="F716" s="12">
        <v>48884</v>
      </c>
      <c r="G716" s="12">
        <v>48914</v>
      </c>
      <c r="H716" s="12">
        <v>48945</v>
      </c>
      <c r="I716" s="12">
        <v>48976</v>
      </c>
      <c r="J716" s="12">
        <v>49004</v>
      </c>
      <c r="K716" s="12">
        <v>49035</v>
      </c>
      <c r="L716" s="12">
        <v>49065</v>
      </c>
      <c r="M716" s="12">
        <v>49096</v>
      </c>
      <c r="N716" s="12">
        <v>49126</v>
      </c>
      <c r="O716" s="12">
        <v>49157</v>
      </c>
      <c r="P716" s="124"/>
      <c r="Q716" s="125"/>
    </row>
    <row r="717" spans="1:17" ht="12.75">
      <c r="A717" s="115" t="s">
        <v>108</v>
      </c>
      <c r="B717" s="115"/>
      <c r="C717" s="115"/>
      <c r="D717" s="8">
        <f>AO37</f>
        <v>51931.51398000002</v>
      </c>
      <c r="E717" s="8">
        <f>AO38</f>
        <v>51931.51398000002</v>
      </c>
      <c r="F717" s="8">
        <f>AO39</f>
        <v>51931.51398000002</v>
      </c>
      <c r="G717" s="8">
        <f>AO40</f>
        <v>51931.51398000002</v>
      </c>
      <c r="H717" s="8">
        <f>AO29</f>
        <v>102505.34132</v>
      </c>
      <c r="I717" s="8">
        <f>AO30</f>
        <v>102505.34132</v>
      </c>
      <c r="J717" s="8">
        <f>AO31</f>
        <v>99423.6569</v>
      </c>
      <c r="K717" s="8">
        <f>AO32</f>
        <v>84779.71637999998</v>
      </c>
      <c r="L717" s="8">
        <f>AO33</f>
        <v>51931.51398000002</v>
      </c>
      <c r="M717" s="8">
        <f>AO34</f>
        <v>51931.51398000002</v>
      </c>
      <c r="N717" s="8">
        <f>AO35</f>
        <v>51931.51398000002</v>
      </c>
      <c r="O717" s="8">
        <f>AO36</f>
        <v>51931.51398000002</v>
      </c>
      <c r="P717" s="114">
        <f aca="true" t="shared" si="265" ref="P717:P725">O717+N717+M717+L717+K717+J717+I717+H717+G717+F717+E717+D717</f>
        <v>804666.1677600003</v>
      </c>
      <c r="Q717" s="114"/>
    </row>
    <row r="718" spans="1:17" ht="12.75">
      <c r="A718" s="115" t="s">
        <v>109</v>
      </c>
      <c r="B718" s="115"/>
      <c r="C718" s="115"/>
      <c r="D718" s="8">
        <f>AO52</f>
        <v>32561.15807999998</v>
      </c>
      <c r="E718" s="8">
        <f>AO53</f>
        <v>23220.895680000005</v>
      </c>
      <c r="F718" s="8">
        <f>AO54</f>
        <v>23220.895680000005</v>
      </c>
      <c r="G718" s="8">
        <f>AO55</f>
        <v>23220.895680000005</v>
      </c>
      <c r="H718" s="8">
        <f>AO44</f>
        <v>45834.70912</v>
      </c>
      <c r="I718" s="8">
        <f>AO45</f>
        <v>45834.70912</v>
      </c>
      <c r="J718" s="8">
        <f>AO46</f>
        <v>45834.70912</v>
      </c>
      <c r="K718" s="8">
        <f>AO47</f>
        <v>45834.70912</v>
      </c>
      <c r="L718" s="8">
        <f>AO48</f>
        <v>45834.709120000014</v>
      </c>
      <c r="M718" s="8">
        <f>AO49</f>
        <v>45834.709120000014</v>
      </c>
      <c r="N718" s="8">
        <f>AO50</f>
        <v>41473.28544000001</v>
      </c>
      <c r="O718" s="8">
        <f>AO51</f>
        <v>58557.17727999997</v>
      </c>
      <c r="P718" s="114">
        <f t="shared" si="265"/>
        <v>477262.56256000005</v>
      </c>
      <c r="Q718" s="114"/>
    </row>
    <row r="719" spans="1:17" ht="12.75">
      <c r="A719" s="115" t="s">
        <v>110</v>
      </c>
      <c r="B719" s="115"/>
      <c r="C719" s="115"/>
      <c r="D719" s="8">
        <f>AO52</f>
        <v>32561.15807999998</v>
      </c>
      <c r="E719" s="8">
        <f>AO53</f>
        <v>23220.895680000005</v>
      </c>
      <c r="F719" s="8">
        <f>AO54</f>
        <v>23220.895680000005</v>
      </c>
      <c r="G719" s="8">
        <f>AO55</f>
        <v>23220.895680000005</v>
      </c>
      <c r="H719" s="8">
        <f>AO44</f>
        <v>45834.70912</v>
      </c>
      <c r="I719" s="8">
        <f>AO45</f>
        <v>45834.70912</v>
      </c>
      <c r="J719" s="8">
        <f>AO46</f>
        <v>45834.70912</v>
      </c>
      <c r="K719" s="8">
        <f>AO47</f>
        <v>45834.70912</v>
      </c>
      <c r="L719" s="8">
        <f>AO48</f>
        <v>45834.709120000014</v>
      </c>
      <c r="M719" s="8">
        <f>AO49</f>
        <v>45834.709120000014</v>
      </c>
      <c r="N719" s="8">
        <f>AO50</f>
        <v>41473.28544000001</v>
      </c>
      <c r="O719" s="8">
        <f>AO51</f>
        <v>58557.17727999997</v>
      </c>
      <c r="P719" s="114">
        <f t="shared" si="265"/>
        <v>477262.56256000005</v>
      </c>
      <c r="Q719" s="114"/>
    </row>
    <row r="720" spans="1:17" ht="12.75">
      <c r="A720" s="115" t="s">
        <v>113</v>
      </c>
      <c r="B720" s="115"/>
      <c r="C720" s="115"/>
      <c r="D720" s="8">
        <f>AO52</f>
        <v>32561.15807999998</v>
      </c>
      <c r="E720" s="8">
        <f>AO53</f>
        <v>23220.895680000005</v>
      </c>
      <c r="F720" s="8">
        <f>AO54</f>
        <v>23220.895680000005</v>
      </c>
      <c r="G720" s="8">
        <f>AO55</f>
        <v>23220.895680000005</v>
      </c>
      <c r="H720" s="8">
        <f>AO44</f>
        <v>45834.70912</v>
      </c>
      <c r="I720" s="8">
        <f>AO45</f>
        <v>45834.70912</v>
      </c>
      <c r="J720" s="8">
        <f>AO46</f>
        <v>45834.70912</v>
      </c>
      <c r="K720" s="8">
        <f>AO47</f>
        <v>45834.70912</v>
      </c>
      <c r="L720" s="8">
        <f>AO48</f>
        <v>45834.709120000014</v>
      </c>
      <c r="M720" s="8">
        <f>AO49</f>
        <v>45834.709120000014</v>
      </c>
      <c r="N720" s="8">
        <f>AO50</f>
        <v>41473.28544000001</v>
      </c>
      <c r="O720" s="8">
        <f>AO51</f>
        <v>58557.17727999997</v>
      </c>
      <c r="P720" s="114">
        <f t="shared" si="265"/>
        <v>477262.56256000005</v>
      </c>
      <c r="Q720" s="114"/>
    </row>
    <row r="721" spans="1:17" ht="12.75">
      <c r="A721" s="115" t="s">
        <v>122</v>
      </c>
      <c r="B721" s="115"/>
      <c r="C721" s="115"/>
      <c r="D721" s="8">
        <f>P352*3</f>
        <v>70337.80300799999</v>
      </c>
      <c r="E721" s="8">
        <f>P353*3</f>
        <v>91956.33534300003</v>
      </c>
      <c r="F721" s="8">
        <f>P354*3</f>
        <v>101909.1492375</v>
      </c>
      <c r="G721" s="8">
        <f>P355*3</f>
        <v>119773.71037499991</v>
      </c>
      <c r="H721" s="8">
        <f>P357*3</f>
        <v>132404.39256</v>
      </c>
      <c r="I721" s="8">
        <f>P358*3</f>
        <v>132404.39256</v>
      </c>
      <c r="J721" s="8">
        <f>P359*3</f>
        <v>112655.932248</v>
      </c>
      <c r="K721" s="8">
        <f>P360*3</f>
        <v>112655.932248</v>
      </c>
      <c r="L721" s="8">
        <f>P361*3</f>
        <v>47768.134079999974</v>
      </c>
      <c r="M721" s="8">
        <f>P362*3</f>
        <v>59052.96854400003</v>
      </c>
      <c r="N721" s="8">
        <f>P363*3</f>
        <v>59052.96854400003</v>
      </c>
      <c r="O721" s="8">
        <f>P364*3</f>
        <v>75980.22024000002</v>
      </c>
      <c r="P721" s="114">
        <f t="shared" si="265"/>
        <v>1115951.9389875</v>
      </c>
      <c r="Q721" s="114"/>
    </row>
    <row r="722" spans="1:17" ht="12.75">
      <c r="A722" s="115" t="s">
        <v>123</v>
      </c>
      <c r="B722" s="115"/>
      <c r="C722" s="115"/>
      <c r="D722" s="8">
        <f>P540*3</f>
        <v>55384.00895999996</v>
      </c>
      <c r="E722" s="8">
        <f>P541*3</f>
        <v>77598.14016000004</v>
      </c>
      <c r="F722" s="8">
        <f>P542*3</f>
        <v>88705.20575999998</v>
      </c>
      <c r="G722" s="8">
        <f>P543*3</f>
        <v>97524.49224000002</v>
      </c>
      <c r="H722" s="8">
        <f>P545*3</f>
        <v>104255.09760000001</v>
      </c>
      <c r="I722" s="8">
        <f>P546*3</f>
        <v>104255.09760000001</v>
      </c>
      <c r="J722" s="8">
        <f>P547*3</f>
        <v>88705.20576000001</v>
      </c>
      <c r="K722" s="8">
        <f>P548*3</f>
        <v>88705.20576000004</v>
      </c>
      <c r="L722" s="8">
        <f>P549*3</f>
        <v>37612.704</v>
      </c>
      <c r="M722" s="8">
        <f>P550*3</f>
        <v>46498.35647999999</v>
      </c>
      <c r="N722" s="8">
        <f>P551*3</f>
        <v>46498.35647999999</v>
      </c>
      <c r="O722" s="8">
        <f>P552*3</f>
        <v>59826.83519999997</v>
      </c>
      <c r="P722" s="114">
        <f t="shared" si="265"/>
        <v>895568.7060000001</v>
      </c>
      <c r="Q722" s="114"/>
    </row>
    <row r="723" spans="1:17" ht="12.75">
      <c r="A723" s="115" t="s">
        <v>117</v>
      </c>
      <c r="B723" s="115"/>
      <c r="C723" s="115"/>
      <c r="D723" s="8">
        <f>AO67*2</f>
        <v>45336.50575999997</v>
      </c>
      <c r="E723" s="8">
        <f>AO68*2</f>
        <v>45336.50575999997</v>
      </c>
      <c r="F723" s="8">
        <f>AO69*2</f>
        <v>45336.50575999997</v>
      </c>
      <c r="G723" s="8">
        <f>AO70*2</f>
        <v>45336.50575999997</v>
      </c>
      <c r="H723" s="8">
        <f>AO59*2</f>
        <v>45336.50576</v>
      </c>
      <c r="I723" s="8">
        <f>AO60*2</f>
        <v>45336.50576</v>
      </c>
      <c r="J723" s="8">
        <f>AO61*2</f>
        <v>45336.50576</v>
      </c>
      <c r="K723" s="8">
        <f>AO62*2</f>
        <v>45336.50576</v>
      </c>
      <c r="L723" s="8">
        <f>AO63*2</f>
        <v>45336.50576</v>
      </c>
      <c r="M723" s="8">
        <f>AO64*2</f>
        <v>45336.50576</v>
      </c>
      <c r="N723" s="8">
        <f>AO65*2</f>
        <v>45336.505760000044</v>
      </c>
      <c r="O723" s="8">
        <f>AO66*2</f>
        <v>45336.50575999997</v>
      </c>
      <c r="P723" s="114">
        <f t="shared" si="265"/>
        <v>544038.0691199999</v>
      </c>
      <c r="Q723" s="114"/>
    </row>
    <row r="724" spans="1:17" ht="12.75">
      <c r="A724" s="115" t="s">
        <v>118</v>
      </c>
      <c r="B724" s="115"/>
      <c r="C724" s="115"/>
      <c r="D724" s="8">
        <f>AO82*2</f>
        <v>39607.16712000002</v>
      </c>
      <c r="E724" s="8">
        <f>AO83*2</f>
        <v>39607.16712000002</v>
      </c>
      <c r="F724" s="8">
        <f>AO84*2</f>
        <v>39607.16712000002</v>
      </c>
      <c r="G724" s="8">
        <f>AO85*2</f>
        <v>39607.16712000002</v>
      </c>
      <c r="H724" s="8">
        <f>AO74*2</f>
        <v>39607.16712</v>
      </c>
      <c r="I724" s="8">
        <f>AO75*2</f>
        <v>39607.16712</v>
      </c>
      <c r="J724" s="8">
        <f>AO76*2</f>
        <v>39607.16712</v>
      </c>
      <c r="K724" s="8">
        <f>AO77*2</f>
        <v>39607.16712</v>
      </c>
      <c r="L724" s="8">
        <f>AO78*2</f>
        <v>39607.16712000002</v>
      </c>
      <c r="M724" s="8">
        <f>AO79*2</f>
        <v>39607.16712000002</v>
      </c>
      <c r="N724" s="8">
        <f>AO80*2</f>
        <v>39607.16712000002</v>
      </c>
      <c r="O724" s="8">
        <f>AO81*2</f>
        <v>39607.16712000002</v>
      </c>
      <c r="P724" s="114">
        <f t="shared" si="265"/>
        <v>475286.0054400001</v>
      </c>
      <c r="Q724" s="114"/>
    </row>
    <row r="725" spans="1:17" ht="12.75">
      <c r="A725" s="126" t="s">
        <v>50</v>
      </c>
      <c r="B725" s="126"/>
      <c r="C725" s="126"/>
      <c r="D725" s="9">
        <f aca="true" t="shared" si="266" ref="D725:O725">D724+D723+D722+D721+D720+D719+D718+D717</f>
        <v>360280.47306799993</v>
      </c>
      <c r="E725" s="9">
        <f t="shared" si="266"/>
        <v>376092.3494030001</v>
      </c>
      <c r="F725" s="9">
        <f t="shared" si="266"/>
        <v>397152.2288975001</v>
      </c>
      <c r="G725" s="9">
        <f t="shared" si="266"/>
        <v>423836.07651499996</v>
      </c>
      <c r="H725" s="9">
        <f t="shared" si="266"/>
        <v>561612.6317200001</v>
      </c>
      <c r="I725" s="9">
        <f t="shared" si="266"/>
        <v>561612.6317200001</v>
      </c>
      <c r="J725" s="9">
        <f t="shared" si="266"/>
        <v>523232.59514800005</v>
      </c>
      <c r="K725" s="9">
        <f t="shared" si="266"/>
        <v>508588.6546280001</v>
      </c>
      <c r="L725" s="9">
        <f t="shared" si="266"/>
        <v>359760.1523000001</v>
      </c>
      <c r="M725" s="9">
        <f t="shared" si="266"/>
        <v>379930.6392440001</v>
      </c>
      <c r="N725" s="9">
        <f t="shared" si="266"/>
        <v>366846.3682040002</v>
      </c>
      <c r="O725" s="9">
        <f t="shared" si="266"/>
        <v>448353.7741399999</v>
      </c>
      <c r="P725" s="114">
        <f t="shared" si="265"/>
        <v>5267298.574987501</v>
      </c>
      <c r="Q725" s="114"/>
    </row>
    <row r="726" spans="1:17" ht="12.75">
      <c r="A726" s="127" t="s">
        <v>135</v>
      </c>
      <c r="B726" s="128"/>
      <c r="C726" s="128"/>
      <c r="D726" s="128"/>
      <c r="E726" s="128"/>
      <c r="F726" s="128"/>
      <c r="G726" s="128"/>
      <c r="H726" s="128"/>
      <c r="I726" s="128"/>
      <c r="J726" s="128"/>
      <c r="K726" s="128"/>
      <c r="L726" s="128"/>
      <c r="M726" s="128"/>
      <c r="N726" s="128"/>
      <c r="O726" s="128"/>
      <c r="P726" s="128"/>
      <c r="Q726" s="129"/>
    </row>
    <row r="727" spans="1:17" ht="12.75">
      <c r="A727" s="116" t="s">
        <v>115</v>
      </c>
      <c r="B727" s="117"/>
      <c r="C727" s="118"/>
      <c r="D727" s="115" t="s">
        <v>26</v>
      </c>
      <c r="E727" s="115"/>
      <c r="F727" s="115"/>
      <c r="G727" s="115"/>
      <c r="H727" s="115"/>
      <c r="I727" s="115"/>
      <c r="J727" s="115"/>
      <c r="K727" s="115"/>
      <c r="L727" s="115"/>
      <c r="M727" s="115"/>
      <c r="N727" s="115"/>
      <c r="O727" s="115"/>
      <c r="P727" s="122" t="s">
        <v>58</v>
      </c>
      <c r="Q727" s="123"/>
    </row>
    <row r="728" spans="1:17" ht="12.75">
      <c r="A728" s="119"/>
      <c r="B728" s="120"/>
      <c r="C728" s="121"/>
      <c r="D728" s="12">
        <v>49188</v>
      </c>
      <c r="E728" s="12">
        <v>49218</v>
      </c>
      <c r="F728" s="12">
        <v>49249</v>
      </c>
      <c r="G728" s="12">
        <v>49279</v>
      </c>
      <c r="H728" s="12">
        <v>49310</v>
      </c>
      <c r="I728" s="12">
        <v>49341</v>
      </c>
      <c r="J728" s="12">
        <v>49369</v>
      </c>
      <c r="K728" s="12">
        <v>49400</v>
      </c>
      <c r="L728" s="12">
        <v>49430</v>
      </c>
      <c r="M728" s="12">
        <v>49461</v>
      </c>
      <c r="N728" s="12">
        <v>49491</v>
      </c>
      <c r="O728" s="12">
        <v>49522</v>
      </c>
      <c r="P728" s="124"/>
      <c r="Q728" s="125"/>
    </row>
    <row r="729" spans="1:17" ht="12.75">
      <c r="A729" s="115" t="s">
        <v>108</v>
      </c>
      <c r="B729" s="115"/>
      <c r="C729" s="115"/>
      <c r="D729" s="8">
        <f>AO37</f>
        <v>51931.51398000002</v>
      </c>
      <c r="E729" s="8">
        <f>AO38</f>
        <v>51931.51398000002</v>
      </c>
      <c r="F729" s="8">
        <f>AO39</f>
        <v>51931.51398000002</v>
      </c>
      <c r="G729" s="8">
        <f>AO40</f>
        <v>51931.51398000002</v>
      </c>
      <c r="H729" s="8">
        <f>AO29</f>
        <v>102505.34132</v>
      </c>
      <c r="I729" s="8">
        <f>AO30</f>
        <v>102505.34132</v>
      </c>
      <c r="J729" s="8">
        <f>AO31</f>
        <v>99423.6569</v>
      </c>
      <c r="K729" s="8">
        <f>AO32</f>
        <v>84779.71637999998</v>
      </c>
      <c r="L729" s="8">
        <f>AO33</f>
        <v>51931.51398000002</v>
      </c>
      <c r="M729" s="8">
        <f>AO34</f>
        <v>51931.51398000002</v>
      </c>
      <c r="N729" s="8">
        <f>AO35</f>
        <v>51931.51398000002</v>
      </c>
      <c r="O729" s="8">
        <f>AO36</f>
        <v>51931.51398000002</v>
      </c>
      <c r="P729" s="114">
        <f aca="true" t="shared" si="267" ref="P729:P737">O729+N729+M729+L729+K729+J729+I729+H729+G729+F729+E729+D729</f>
        <v>804666.1677600003</v>
      </c>
      <c r="Q729" s="114"/>
    </row>
    <row r="730" spans="1:17" ht="12.75">
      <c r="A730" s="115" t="s">
        <v>109</v>
      </c>
      <c r="B730" s="115"/>
      <c r="C730" s="115"/>
      <c r="D730" s="8">
        <f>AO52</f>
        <v>32561.15807999998</v>
      </c>
      <c r="E730" s="8">
        <f>AO53</f>
        <v>23220.895680000005</v>
      </c>
      <c r="F730" s="8">
        <f>AO54</f>
        <v>23220.895680000005</v>
      </c>
      <c r="G730" s="8">
        <f>AO55</f>
        <v>23220.895680000005</v>
      </c>
      <c r="H730" s="8">
        <f>AO44</f>
        <v>45834.70912</v>
      </c>
      <c r="I730" s="8">
        <f>AO45</f>
        <v>45834.70912</v>
      </c>
      <c r="J730" s="8">
        <f>AO46</f>
        <v>45834.70912</v>
      </c>
      <c r="K730" s="8">
        <f>AO47</f>
        <v>45834.70912</v>
      </c>
      <c r="L730" s="8">
        <f>AO48</f>
        <v>45834.709120000014</v>
      </c>
      <c r="M730" s="8">
        <f>AO49</f>
        <v>45834.709120000014</v>
      </c>
      <c r="N730" s="8">
        <f>AO50</f>
        <v>41473.28544000001</v>
      </c>
      <c r="O730" s="8">
        <f>AO51</f>
        <v>58557.17727999997</v>
      </c>
      <c r="P730" s="114">
        <f t="shared" si="267"/>
        <v>477262.56256000005</v>
      </c>
      <c r="Q730" s="114"/>
    </row>
    <row r="731" spans="1:17" ht="12.75">
      <c r="A731" s="115" t="s">
        <v>110</v>
      </c>
      <c r="B731" s="115"/>
      <c r="C731" s="115"/>
      <c r="D731" s="8">
        <f>AO52</f>
        <v>32561.15807999998</v>
      </c>
      <c r="E731" s="8">
        <f>AO53</f>
        <v>23220.895680000005</v>
      </c>
      <c r="F731" s="8">
        <f>AO54</f>
        <v>23220.895680000005</v>
      </c>
      <c r="G731" s="8">
        <f>AO55</f>
        <v>23220.895680000005</v>
      </c>
      <c r="H731" s="8">
        <f>AO44</f>
        <v>45834.70912</v>
      </c>
      <c r="I731" s="8">
        <f>AO45</f>
        <v>45834.70912</v>
      </c>
      <c r="J731" s="8">
        <f>AO46</f>
        <v>45834.70912</v>
      </c>
      <c r="K731" s="8">
        <f>AO47</f>
        <v>45834.70912</v>
      </c>
      <c r="L731" s="8">
        <f>AO48</f>
        <v>45834.709120000014</v>
      </c>
      <c r="M731" s="8">
        <f>AO49</f>
        <v>45834.709120000014</v>
      </c>
      <c r="N731" s="8">
        <f>AO50</f>
        <v>41473.28544000001</v>
      </c>
      <c r="O731" s="8">
        <f>AO51</f>
        <v>58557.17727999997</v>
      </c>
      <c r="P731" s="114">
        <f t="shared" si="267"/>
        <v>477262.56256000005</v>
      </c>
      <c r="Q731" s="114"/>
    </row>
    <row r="732" spans="1:17" ht="12.75">
      <c r="A732" s="115" t="s">
        <v>113</v>
      </c>
      <c r="B732" s="115"/>
      <c r="C732" s="115"/>
      <c r="D732" s="8">
        <f>AO52</f>
        <v>32561.15807999998</v>
      </c>
      <c r="E732" s="8">
        <f>AO53</f>
        <v>23220.895680000005</v>
      </c>
      <c r="F732" s="8">
        <f>AO54</f>
        <v>23220.895680000005</v>
      </c>
      <c r="G732" s="8">
        <f>AO55</f>
        <v>23220.895680000005</v>
      </c>
      <c r="H732" s="8">
        <f>AO44</f>
        <v>45834.70912</v>
      </c>
      <c r="I732" s="8">
        <f>AO45</f>
        <v>45834.70912</v>
      </c>
      <c r="J732" s="8">
        <f>AO46</f>
        <v>45834.70912</v>
      </c>
      <c r="K732" s="8">
        <f>AO47</f>
        <v>45834.70912</v>
      </c>
      <c r="L732" s="8">
        <f>AO48</f>
        <v>45834.709120000014</v>
      </c>
      <c r="M732" s="8">
        <f>AO49</f>
        <v>45834.709120000014</v>
      </c>
      <c r="N732" s="8">
        <f>AO50</f>
        <v>41473.28544000001</v>
      </c>
      <c r="O732" s="8">
        <f>AO51</f>
        <v>58557.17727999997</v>
      </c>
      <c r="P732" s="114">
        <f t="shared" si="267"/>
        <v>477262.56256000005</v>
      </c>
      <c r="Q732" s="114"/>
    </row>
    <row r="733" spans="1:17" ht="12.75">
      <c r="A733" s="115" t="s">
        <v>122</v>
      </c>
      <c r="B733" s="115"/>
      <c r="C733" s="115"/>
      <c r="D733" s="8">
        <f>P366*3</f>
        <v>70337.80300799999</v>
      </c>
      <c r="E733" s="8">
        <f>P367*3</f>
        <v>91956.33534300003</v>
      </c>
      <c r="F733" s="8">
        <f>P368*3</f>
        <v>104461.22940000001</v>
      </c>
      <c r="G733" s="8">
        <f>P369*3</f>
        <v>119773.71037500011</v>
      </c>
      <c r="H733" s="8">
        <f>P371*3</f>
        <v>132404.39256</v>
      </c>
      <c r="I733" s="8">
        <f>P372*3</f>
        <v>132404.39256</v>
      </c>
      <c r="J733" s="8">
        <f>P373*3</f>
        <v>109834.72363199998</v>
      </c>
      <c r="K733" s="8">
        <f>P374*3</f>
        <v>112655.932248</v>
      </c>
      <c r="L733" s="8">
        <f>P375*3</f>
        <v>47768.134079999974</v>
      </c>
      <c r="M733" s="8">
        <f>P376*3</f>
        <v>59052.96854400003</v>
      </c>
      <c r="N733" s="8">
        <f>P377*3</f>
        <v>59052.96854400003</v>
      </c>
      <c r="O733" s="8">
        <f>P378*3</f>
        <v>75980.22024000002</v>
      </c>
      <c r="P733" s="114">
        <f t="shared" si="267"/>
        <v>1115682.8105340002</v>
      </c>
      <c r="Q733" s="114"/>
    </row>
    <row r="734" spans="1:17" ht="12.75">
      <c r="A734" s="115" t="s">
        <v>123</v>
      </c>
      <c r="B734" s="115"/>
      <c r="C734" s="115"/>
      <c r="D734" s="8">
        <f>P554*3</f>
        <v>55384.00895999996</v>
      </c>
      <c r="E734" s="8">
        <f>P555*3</f>
        <v>77598.14016000004</v>
      </c>
      <c r="F734" s="8">
        <f>P556*3</f>
        <v>90926.61888</v>
      </c>
      <c r="G734" s="8">
        <f>P557*3</f>
        <v>97312.58112000003</v>
      </c>
      <c r="H734" s="8">
        <f>P559*3</f>
        <v>104255.09760000001</v>
      </c>
      <c r="I734" s="8">
        <f>P560*3</f>
        <v>104255.09760000001</v>
      </c>
      <c r="J734" s="8">
        <f>P561*3</f>
        <v>86483.79264</v>
      </c>
      <c r="K734" s="8">
        <f>P562*3</f>
        <v>88705.20576000004</v>
      </c>
      <c r="L734" s="8">
        <f>P563*3</f>
        <v>37612.704</v>
      </c>
      <c r="M734" s="8">
        <f>P564*3</f>
        <v>46498.35647999999</v>
      </c>
      <c r="N734" s="8">
        <f>P565*3</f>
        <v>46498.35647999999</v>
      </c>
      <c r="O734" s="8">
        <f>P566*3</f>
        <v>59826.83519999997</v>
      </c>
      <c r="P734" s="114">
        <f t="shared" si="267"/>
        <v>895356.79488</v>
      </c>
      <c r="Q734" s="114"/>
    </row>
    <row r="735" spans="1:17" ht="12.75">
      <c r="A735" s="115" t="s">
        <v>117</v>
      </c>
      <c r="B735" s="115"/>
      <c r="C735" s="115"/>
      <c r="D735" s="8">
        <f>AO67*2</f>
        <v>45336.50575999997</v>
      </c>
      <c r="E735" s="8">
        <f>AO68*2</f>
        <v>45336.50575999997</v>
      </c>
      <c r="F735" s="8">
        <f>AO69*2</f>
        <v>45336.50575999997</v>
      </c>
      <c r="G735" s="8">
        <f>AO70*2</f>
        <v>45336.50575999997</v>
      </c>
      <c r="H735" s="8">
        <f>AO59*2</f>
        <v>45336.50576</v>
      </c>
      <c r="I735" s="8">
        <f>AO60*2</f>
        <v>45336.50576</v>
      </c>
      <c r="J735" s="8">
        <f>AO61*2</f>
        <v>45336.50576</v>
      </c>
      <c r="K735" s="8">
        <f>AO62*2</f>
        <v>45336.50576</v>
      </c>
      <c r="L735" s="8">
        <f>AO63*2</f>
        <v>45336.50576</v>
      </c>
      <c r="M735" s="8">
        <f>AO64*2</f>
        <v>45336.50576</v>
      </c>
      <c r="N735" s="8">
        <f>AO65*2</f>
        <v>45336.505760000044</v>
      </c>
      <c r="O735" s="8">
        <f>AO66*2</f>
        <v>45336.50575999997</v>
      </c>
      <c r="P735" s="114">
        <f t="shared" si="267"/>
        <v>544038.0691199999</v>
      </c>
      <c r="Q735" s="114"/>
    </row>
    <row r="736" spans="1:17" ht="12.75">
      <c r="A736" s="115" t="s">
        <v>118</v>
      </c>
      <c r="B736" s="115"/>
      <c r="C736" s="115"/>
      <c r="D736" s="8">
        <f>AO82*2</f>
        <v>39607.16712000002</v>
      </c>
      <c r="E736" s="8">
        <f>AO83*2</f>
        <v>39607.16712000002</v>
      </c>
      <c r="F736" s="8">
        <f>AO84*2</f>
        <v>39607.16712000002</v>
      </c>
      <c r="G736" s="8">
        <f>AO85*2</f>
        <v>39607.16712000002</v>
      </c>
      <c r="H736" s="8">
        <f>AO74*2</f>
        <v>39607.16712</v>
      </c>
      <c r="I736" s="8">
        <f>AO75*2</f>
        <v>39607.16712</v>
      </c>
      <c r="J736" s="8">
        <f>AO76*2</f>
        <v>39607.16712</v>
      </c>
      <c r="K736" s="8">
        <f>AO77*2</f>
        <v>39607.16712</v>
      </c>
      <c r="L736" s="8">
        <f>AO78*2</f>
        <v>39607.16712000002</v>
      </c>
      <c r="M736" s="8">
        <f>AO79*2</f>
        <v>39607.16712000002</v>
      </c>
      <c r="N736" s="8">
        <f>AO80*2</f>
        <v>39607.16712000002</v>
      </c>
      <c r="O736" s="8">
        <f>AO81*2</f>
        <v>39607.16712000002</v>
      </c>
      <c r="P736" s="114">
        <f t="shared" si="267"/>
        <v>475286.0054400001</v>
      </c>
      <c r="Q736" s="114"/>
    </row>
    <row r="737" spans="1:17" ht="12.75">
      <c r="A737" s="126" t="s">
        <v>50</v>
      </c>
      <c r="B737" s="126"/>
      <c r="C737" s="126"/>
      <c r="D737" s="9">
        <f aca="true" t="shared" si="268" ref="D737:O737">D736+D735+D734+D733+D732+D731+D730+D729</f>
        <v>360280.47306799993</v>
      </c>
      <c r="E737" s="9">
        <f t="shared" si="268"/>
        <v>376092.3494030001</v>
      </c>
      <c r="F737" s="9">
        <f t="shared" si="268"/>
        <v>401925.72218000004</v>
      </c>
      <c r="G737" s="9">
        <f t="shared" si="268"/>
        <v>423624.16539500013</v>
      </c>
      <c r="H737" s="9">
        <f t="shared" si="268"/>
        <v>561612.6317200001</v>
      </c>
      <c r="I737" s="9">
        <f t="shared" si="268"/>
        <v>561612.6317200001</v>
      </c>
      <c r="J737" s="9">
        <f t="shared" si="268"/>
        <v>518189.97341200005</v>
      </c>
      <c r="K737" s="9">
        <f t="shared" si="268"/>
        <v>508588.6546280001</v>
      </c>
      <c r="L737" s="9">
        <f t="shared" si="268"/>
        <v>359760.1523000001</v>
      </c>
      <c r="M737" s="9">
        <f t="shared" si="268"/>
        <v>379930.6392440001</v>
      </c>
      <c r="N737" s="9">
        <f t="shared" si="268"/>
        <v>366846.3682040002</v>
      </c>
      <c r="O737" s="9">
        <f t="shared" si="268"/>
        <v>448353.7741399999</v>
      </c>
      <c r="P737" s="114">
        <f t="shared" si="267"/>
        <v>5266817.535414001</v>
      </c>
      <c r="Q737" s="114"/>
    </row>
  </sheetData>
  <sheetProtection/>
  <mergeCells count="3693">
    <mergeCell ref="A737:C737"/>
    <mergeCell ref="P737:Q737"/>
    <mergeCell ref="A732:C732"/>
    <mergeCell ref="P732:Q732"/>
    <mergeCell ref="A733:C733"/>
    <mergeCell ref="P733:Q733"/>
    <mergeCell ref="A734:C734"/>
    <mergeCell ref="P734:Q734"/>
    <mergeCell ref="A735:C735"/>
    <mergeCell ref="P735:Q735"/>
    <mergeCell ref="A729:C729"/>
    <mergeCell ref="P729:Q729"/>
    <mergeCell ref="A714:Q714"/>
    <mergeCell ref="A715:C716"/>
    <mergeCell ref="D715:O715"/>
    <mergeCell ref="P715:Q716"/>
    <mergeCell ref="A720:C720"/>
    <mergeCell ref="P720:Q720"/>
    <mergeCell ref="A721:C721"/>
    <mergeCell ref="P721:Q721"/>
    <mergeCell ref="D727:O727"/>
    <mergeCell ref="P727:Q728"/>
    <mergeCell ref="A726:Q726"/>
    <mergeCell ref="A727:C728"/>
    <mergeCell ref="A736:C736"/>
    <mergeCell ref="P736:Q736"/>
    <mergeCell ref="A730:C730"/>
    <mergeCell ref="P730:Q730"/>
    <mergeCell ref="A731:C731"/>
    <mergeCell ref="P731:Q731"/>
    <mergeCell ref="A718:C718"/>
    <mergeCell ref="P718:Q718"/>
    <mergeCell ref="A719:C719"/>
    <mergeCell ref="P719:Q719"/>
    <mergeCell ref="A725:C725"/>
    <mergeCell ref="P725:Q725"/>
    <mergeCell ref="A722:C722"/>
    <mergeCell ref="P722:Q722"/>
    <mergeCell ref="A724:C724"/>
    <mergeCell ref="P724:Q724"/>
    <mergeCell ref="A705:C705"/>
    <mergeCell ref="P705:Q705"/>
    <mergeCell ref="A723:C723"/>
    <mergeCell ref="P723:Q723"/>
    <mergeCell ref="A710:C710"/>
    <mergeCell ref="P710:Q710"/>
    <mergeCell ref="A712:C712"/>
    <mergeCell ref="P712:Q712"/>
    <mergeCell ref="A717:C717"/>
    <mergeCell ref="P717:Q717"/>
    <mergeCell ref="A708:C708"/>
    <mergeCell ref="P708:Q708"/>
    <mergeCell ref="A706:C706"/>
    <mergeCell ref="P706:Q706"/>
    <mergeCell ref="A707:C707"/>
    <mergeCell ref="P707:Q707"/>
    <mergeCell ref="A709:C709"/>
    <mergeCell ref="P709:Q709"/>
    <mergeCell ref="A713:C713"/>
    <mergeCell ref="P713:Q713"/>
    <mergeCell ref="A711:C711"/>
    <mergeCell ref="P711:Q711"/>
    <mergeCell ref="A699:C699"/>
    <mergeCell ref="P699:Q699"/>
    <mergeCell ref="A693:C693"/>
    <mergeCell ref="P693:Q693"/>
    <mergeCell ref="A698:C698"/>
    <mergeCell ref="P698:Q698"/>
    <mergeCell ref="A697:C697"/>
    <mergeCell ref="P697:Q697"/>
    <mergeCell ref="A694:C694"/>
    <mergeCell ref="P694:Q694"/>
    <mergeCell ref="A700:C700"/>
    <mergeCell ref="P700:Q700"/>
    <mergeCell ref="A702:Q702"/>
    <mergeCell ref="A703:C704"/>
    <mergeCell ref="D703:O703"/>
    <mergeCell ref="P703:Q704"/>
    <mergeCell ref="A701:C701"/>
    <mergeCell ref="P701:Q701"/>
    <mergeCell ref="A696:C696"/>
    <mergeCell ref="P696:Q696"/>
    <mergeCell ref="A695:C695"/>
    <mergeCell ref="P695:Q695"/>
    <mergeCell ref="A673:C673"/>
    <mergeCell ref="A690:Q690"/>
    <mergeCell ref="A691:C692"/>
    <mergeCell ref="D691:O691"/>
    <mergeCell ref="P691:Q692"/>
    <mergeCell ref="A674:C674"/>
    <mergeCell ref="P674:Q674"/>
    <mergeCell ref="A676:C676"/>
    <mergeCell ref="P676:Q676"/>
    <mergeCell ref="A678:Q678"/>
    <mergeCell ref="A679:C680"/>
    <mergeCell ref="D679:O679"/>
    <mergeCell ref="P679:Q680"/>
    <mergeCell ref="A689:C689"/>
    <mergeCell ref="P689:Q689"/>
    <mergeCell ref="A684:C684"/>
    <mergeCell ref="P684:Q684"/>
    <mergeCell ref="A685:C685"/>
    <mergeCell ref="P685:Q685"/>
    <mergeCell ref="A688:C688"/>
    <mergeCell ref="P688:Q688"/>
    <mergeCell ref="A633:C633"/>
    <mergeCell ref="P633:Q633"/>
    <mergeCell ref="P635:Q635"/>
    <mergeCell ref="A682:C682"/>
    <mergeCell ref="P682:Q682"/>
    <mergeCell ref="A687:C687"/>
    <mergeCell ref="A686:C686"/>
    <mergeCell ref="P686:Q686"/>
    <mergeCell ref="A683:C683"/>
    <mergeCell ref="P683:Q683"/>
    <mergeCell ref="P671:Q671"/>
    <mergeCell ref="A672:C672"/>
    <mergeCell ref="P672:Q672"/>
    <mergeCell ref="D631:O631"/>
    <mergeCell ref="P634:Q634"/>
    <mergeCell ref="P669:Q669"/>
    <mergeCell ref="P645:Q645"/>
    <mergeCell ref="P638:Q638"/>
    <mergeCell ref="P643:Q644"/>
    <mergeCell ref="A642:Q642"/>
    <mergeCell ref="P681:Q681"/>
    <mergeCell ref="P675:Q675"/>
    <mergeCell ref="A677:C677"/>
    <mergeCell ref="P673:Q673"/>
    <mergeCell ref="A661:C661"/>
    <mergeCell ref="P661:Q661"/>
    <mergeCell ref="A662:C662"/>
    <mergeCell ref="P662:Q662"/>
    <mergeCell ref="A665:C665"/>
    <mergeCell ref="A671:C671"/>
    <mergeCell ref="A664:C664"/>
    <mergeCell ref="P664:Q664"/>
    <mergeCell ref="A667:C668"/>
    <mergeCell ref="P665:Q665"/>
    <mergeCell ref="D667:O667"/>
    <mergeCell ref="P667:Q668"/>
    <mergeCell ref="A670:C670"/>
    <mergeCell ref="P670:Q670"/>
    <mergeCell ref="P687:Q687"/>
    <mergeCell ref="A663:C663"/>
    <mergeCell ref="P663:Q663"/>
    <mergeCell ref="A666:Q666"/>
    <mergeCell ref="A669:C669"/>
    <mergeCell ref="A675:C675"/>
    <mergeCell ref="P677:Q677"/>
    <mergeCell ref="A681:C681"/>
    <mergeCell ref="P647:Q647"/>
    <mergeCell ref="A659:C659"/>
    <mergeCell ref="A636:C636"/>
    <mergeCell ref="P636:Q636"/>
    <mergeCell ref="P641:Q641"/>
    <mergeCell ref="A637:C637"/>
    <mergeCell ref="A640:C640"/>
    <mergeCell ref="P640:Q640"/>
    <mergeCell ref="P648:Q648"/>
    <mergeCell ref="A648:C648"/>
    <mergeCell ref="A638:C638"/>
    <mergeCell ref="A635:C635"/>
    <mergeCell ref="P637:Q637"/>
    <mergeCell ref="A660:C660"/>
    <mergeCell ref="P660:Q660"/>
    <mergeCell ref="A654:Q654"/>
    <mergeCell ref="P658:Q658"/>
    <mergeCell ref="P657:Q657"/>
    <mergeCell ref="A655:C656"/>
    <mergeCell ref="P655:Q656"/>
    <mergeCell ref="A639:C639"/>
    <mergeCell ref="P639:Q639"/>
    <mergeCell ref="A653:C653"/>
    <mergeCell ref="P653:Q653"/>
    <mergeCell ref="A643:C644"/>
    <mergeCell ref="A641:C641"/>
    <mergeCell ref="P646:Q646"/>
    <mergeCell ref="A652:C652"/>
    <mergeCell ref="P652:Q652"/>
    <mergeCell ref="A647:C647"/>
    <mergeCell ref="A634:C634"/>
    <mergeCell ref="A628:C628"/>
    <mergeCell ref="P628:Q628"/>
    <mergeCell ref="A621:C621"/>
    <mergeCell ref="P622:Q622"/>
    <mergeCell ref="P629:Q629"/>
    <mergeCell ref="A631:C632"/>
    <mergeCell ref="A629:C629"/>
    <mergeCell ref="P631:Q632"/>
    <mergeCell ref="A630:Q630"/>
    <mergeCell ref="A645:C645"/>
    <mergeCell ref="D643:O643"/>
    <mergeCell ref="A646:C646"/>
    <mergeCell ref="P610:Q610"/>
    <mergeCell ref="P625:Q625"/>
    <mergeCell ref="A623:C623"/>
    <mergeCell ref="P612:Q612"/>
    <mergeCell ref="A624:C624"/>
    <mergeCell ref="A625:C625"/>
    <mergeCell ref="P623:Q623"/>
    <mergeCell ref="P659:Q659"/>
    <mergeCell ref="A658:C658"/>
    <mergeCell ref="A649:C649"/>
    <mergeCell ref="P649:Q649"/>
    <mergeCell ref="A657:C657"/>
    <mergeCell ref="A650:C650"/>
    <mergeCell ref="P650:Q650"/>
    <mergeCell ref="A651:C651"/>
    <mergeCell ref="P651:Q651"/>
    <mergeCell ref="D655:O655"/>
    <mergeCell ref="A617:C617"/>
    <mergeCell ref="A619:C620"/>
    <mergeCell ref="D619:O619"/>
    <mergeCell ref="P617:Q617"/>
    <mergeCell ref="A618:Q618"/>
    <mergeCell ref="P611:Q611"/>
    <mergeCell ref="A616:C616"/>
    <mergeCell ref="P616:Q616"/>
    <mergeCell ref="P613:Q613"/>
    <mergeCell ref="P615:Q615"/>
    <mergeCell ref="A612:C612"/>
    <mergeCell ref="A613:C613"/>
    <mergeCell ref="P614:Q614"/>
    <mergeCell ref="A615:C615"/>
    <mergeCell ref="F217:G217"/>
    <mergeCell ref="A610:C610"/>
    <mergeCell ref="M218:O218"/>
    <mergeCell ref="J219:L219"/>
    <mergeCell ref="J220:L220"/>
    <mergeCell ref="A614:C614"/>
    <mergeCell ref="P208:Q208"/>
    <mergeCell ref="A622:C622"/>
    <mergeCell ref="P619:Q620"/>
    <mergeCell ref="A627:C627"/>
    <mergeCell ref="P627:Q627"/>
    <mergeCell ref="A626:C626"/>
    <mergeCell ref="P626:Q626"/>
    <mergeCell ref="P624:Q624"/>
    <mergeCell ref="P621:Q621"/>
    <mergeCell ref="A611:C611"/>
    <mergeCell ref="F203:G203"/>
    <mergeCell ref="D200:E200"/>
    <mergeCell ref="F200:G200"/>
    <mergeCell ref="P206:Q206"/>
    <mergeCell ref="R206:S206"/>
    <mergeCell ref="R204:S204"/>
    <mergeCell ref="P205:Q205"/>
    <mergeCell ref="R205:S205"/>
    <mergeCell ref="R213:S213"/>
    <mergeCell ref="R212:S212"/>
    <mergeCell ref="P201:Q201"/>
    <mergeCell ref="H203:I203"/>
    <mergeCell ref="P200:Q200"/>
    <mergeCell ref="J198:L198"/>
    <mergeCell ref="M209:O209"/>
    <mergeCell ref="R209:S209"/>
    <mergeCell ref="R207:S207"/>
    <mergeCell ref="R208:S208"/>
    <mergeCell ref="M206:O206"/>
    <mergeCell ref="M208:O208"/>
    <mergeCell ref="H198:I198"/>
    <mergeCell ref="M210:O210"/>
    <mergeCell ref="J200:L200"/>
    <mergeCell ref="J208:L208"/>
    <mergeCell ref="H208:I208"/>
    <mergeCell ref="H207:I207"/>
    <mergeCell ref="H204:I204"/>
    <mergeCell ref="A609:C609"/>
    <mergeCell ref="A216:S216"/>
    <mergeCell ref="P609:Q609"/>
    <mergeCell ref="P219:Q219"/>
    <mergeCell ref="R219:S219"/>
    <mergeCell ref="M198:O198"/>
    <mergeCell ref="M215:O215"/>
    <mergeCell ref="F201:G201"/>
    <mergeCell ref="H201:I201"/>
    <mergeCell ref="M201:O201"/>
    <mergeCell ref="D194:E196"/>
    <mergeCell ref="D215:E215"/>
    <mergeCell ref="J215:L215"/>
    <mergeCell ref="B215:C215"/>
    <mergeCell ref="F215:G215"/>
    <mergeCell ref="H215:I215"/>
    <mergeCell ref="J206:L206"/>
    <mergeCell ref="F204:G204"/>
    <mergeCell ref="D198:E198"/>
    <mergeCell ref="F198:G198"/>
    <mergeCell ref="P192:Q196"/>
    <mergeCell ref="A186:F186"/>
    <mergeCell ref="B199:C199"/>
    <mergeCell ref="J203:L203"/>
    <mergeCell ref="D199:E199"/>
    <mergeCell ref="D201:E201"/>
    <mergeCell ref="H193:I196"/>
    <mergeCell ref="B192:C196"/>
    <mergeCell ref="B201:C201"/>
    <mergeCell ref="A191:S191"/>
    <mergeCell ref="M205:O205"/>
    <mergeCell ref="M204:O204"/>
    <mergeCell ref="P203:Q203"/>
    <mergeCell ref="R203:S203"/>
    <mergeCell ref="P198:Q198"/>
    <mergeCell ref="R198:S198"/>
    <mergeCell ref="R201:S201"/>
    <mergeCell ref="A190:F190"/>
    <mergeCell ref="J205:L205"/>
    <mergeCell ref="J201:L201"/>
    <mergeCell ref="B203:C203"/>
    <mergeCell ref="D203:E203"/>
    <mergeCell ref="A202:S202"/>
    <mergeCell ref="J204:L204"/>
    <mergeCell ref="M203:O203"/>
    <mergeCell ref="M192:O196"/>
    <mergeCell ref="R200:S200"/>
    <mergeCell ref="B200:C200"/>
    <mergeCell ref="P199:Q199"/>
    <mergeCell ref="J199:L199"/>
    <mergeCell ref="H199:I199"/>
    <mergeCell ref="F199:G199"/>
    <mergeCell ref="B205:C205"/>
    <mergeCell ref="D205:E205"/>
    <mergeCell ref="F205:G205"/>
    <mergeCell ref="B204:C204"/>
    <mergeCell ref="D204:E204"/>
    <mergeCell ref="AP18:AW18"/>
    <mergeCell ref="AP19:AW19"/>
    <mergeCell ref="AP20:AW20"/>
    <mergeCell ref="AP21:AW21"/>
    <mergeCell ref="K38:N38"/>
    <mergeCell ref="F38:J38"/>
    <mergeCell ref="AC25:AJ25"/>
    <mergeCell ref="Q25:AB25"/>
    <mergeCell ref="F28:J28"/>
    <mergeCell ref="U34:AF34"/>
    <mergeCell ref="O37:T37"/>
    <mergeCell ref="A179:F179"/>
    <mergeCell ref="A189:F189"/>
    <mergeCell ref="A174:F174"/>
    <mergeCell ref="A181:F181"/>
    <mergeCell ref="A183:S183"/>
    <mergeCell ref="S184:S185"/>
    <mergeCell ref="A176:F177"/>
    <mergeCell ref="A178:F178"/>
    <mergeCell ref="A187:F187"/>
    <mergeCell ref="A103:S103"/>
    <mergeCell ref="A109:F109"/>
    <mergeCell ref="S96:S97"/>
    <mergeCell ref="A101:F101"/>
    <mergeCell ref="A102:F102"/>
    <mergeCell ref="A96:F97"/>
    <mergeCell ref="G96:R96"/>
    <mergeCell ref="A99:F99"/>
    <mergeCell ref="A100:F100"/>
    <mergeCell ref="A98:F98"/>
    <mergeCell ref="B36:E36"/>
    <mergeCell ref="F39:J39"/>
    <mergeCell ref="A180:F180"/>
    <mergeCell ref="B38:E38"/>
    <mergeCell ref="F37:J37"/>
    <mergeCell ref="B37:E37"/>
    <mergeCell ref="A41:AX41"/>
    <mergeCell ref="F44:J44"/>
    <mergeCell ref="AP22:AW22"/>
    <mergeCell ref="AP25:AW25"/>
    <mergeCell ref="B24:F24"/>
    <mergeCell ref="G24:J24"/>
    <mergeCell ref="Q23:AB23"/>
    <mergeCell ref="AK22:AO22"/>
    <mergeCell ref="Q22:AB22"/>
    <mergeCell ref="U31:AF31"/>
    <mergeCell ref="O31:T31"/>
    <mergeCell ref="B27:E28"/>
    <mergeCell ref="AO33:AS33"/>
    <mergeCell ref="B33:E33"/>
    <mergeCell ref="AP23:AW23"/>
    <mergeCell ref="B25:F25"/>
    <mergeCell ref="K25:P25"/>
    <mergeCell ref="AK25:AO25"/>
    <mergeCell ref="AO27:AS28"/>
    <mergeCell ref="U33:AF33"/>
    <mergeCell ref="B39:E39"/>
    <mergeCell ref="K39:N39"/>
    <mergeCell ref="F40:J40"/>
    <mergeCell ref="A92:F92"/>
    <mergeCell ref="K40:N40"/>
    <mergeCell ref="K43:N43"/>
    <mergeCell ref="K44:N44"/>
    <mergeCell ref="F45:J45"/>
    <mergeCell ref="A42:A43"/>
    <mergeCell ref="B42:E43"/>
    <mergeCell ref="F46:J46"/>
    <mergeCell ref="A95:S95"/>
    <mergeCell ref="O28:T28"/>
    <mergeCell ref="U28:AF28"/>
    <mergeCell ref="K24:P24"/>
    <mergeCell ref="K28:N28"/>
    <mergeCell ref="F36:J36"/>
    <mergeCell ref="U35:AF35"/>
    <mergeCell ref="F35:J35"/>
    <mergeCell ref="Q24:AB24"/>
    <mergeCell ref="V12:Z12"/>
    <mergeCell ref="AA12:AD12"/>
    <mergeCell ref="AK21:AO21"/>
    <mergeCell ref="Q21:AB21"/>
    <mergeCell ref="Q17:AB17"/>
    <mergeCell ref="AK18:AO18"/>
    <mergeCell ref="Q18:AB18"/>
    <mergeCell ref="Q15:AB15"/>
    <mergeCell ref="A14:A15"/>
    <mergeCell ref="G15:J15"/>
    <mergeCell ref="B14:J14"/>
    <mergeCell ref="M11:P11"/>
    <mergeCell ref="J12:L12"/>
    <mergeCell ref="K15:P15"/>
    <mergeCell ref="K14:AB14"/>
    <mergeCell ref="M12:P12"/>
    <mergeCell ref="Q12:U12"/>
    <mergeCell ref="Q16:AB16"/>
    <mergeCell ref="AP17:AW17"/>
    <mergeCell ref="AK17:AO17"/>
    <mergeCell ref="AP16:AW16"/>
    <mergeCell ref="AC17:AJ17"/>
    <mergeCell ref="AC16:AJ16"/>
    <mergeCell ref="AK16:AO16"/>
    <mergeCell ref="B18:F18"/>
    <mergeCell ref="AC21:AJ21"/>
    <mergeCell ref="AC23:AJ23"/>
    <mergeCell ref="AC18:AJ18"/>
    <mergeCell ref="K21:P21"/>
    <mergeCell ref="K22:P22"/>
    <mergeCell ref="G18:J18"/>
    <mergeCell ref="B21:F21"/>
    <mergeCell ref="G23:J23"/>
    <mergeCell ref="AC22:AJ22"/>
    <mergeCell ref="A26:AX26"/>
    <mergeCell ref="K19:P19"/>
    <mergeCell ref="AK23:AO23"/>
    <mergeCell ref="AK19:AO19"/>
    <mergeCell ref="AT27:AX28"/>
    <mergeCell ref="AP24:AW24"/>
    <mergeCell ref="AK20:AO20"/>
    <mergeCell ref="AC24:AJ24"/>
    <mergeCell ref="AK24:AO24"/>
    <mergeCell ref="G22:J22"/>
    <mergeCell ref="AH4:AN4"/>
    <mergeCell ref="M3:P3"/>
    <mergeCell ref="M4:P4"/>
    <mergeCell ref="Q20:AB20"/>
    <mergeCell ref="K18:P18"/>
    <mergeCell ref="AC20:AJ20"/>
    <mergeCell ref="K17:P17"/>
    <mergeCell ref="A13:AW13"/>
    <mergeCell ref="B12:G12"/>
    <mergeCell ref="K16:P16"/>
    <mergeCell ref="AO6:AU6"/>
    <mergeCell ref="AO7:AU7"/>
    <mergeCell ref="AH7:AN7"/>
    <mergeCell ref="A27:A28"/>
    <mergeCell ref="A1:AU1"/>
    <mergeCell ref="AO4:AU4"/>
    <mergeCell ref="AO5:AU5"/>
    <mergeCell ref="Q5:U5"/>
    <mergeCell ref="AA2:AD2"/>
    <mergeCell ref="H3:I3"/>
    <mergeCell ref="AH10:AN10"/>
    <mergeCell ref="AO8:AU8"/>
    <mergeCell ref="AH8:AN8"/>
    <mergeCell ref="AO9:AU9"/>
    <mergeCell ref="AO10:AU10"/>
    <mergeCell ref="AH9:AN9"/>
    <mergeCell ref="AE6:AG6"/>
    <mergeCell ref="AH6:AN6"/>
    <mergeCell ref="AH5:AN5"/>
    <mergeCell ref="AE7:AG7"/>
    <mergeCell ref="AE9:AG9"/>
    <mergeCell ref="H5:I5"/>
    <mergeCell ref="AA9:AD9"/>
    <mergeCell ref="J8:L8"/>
    <mergeCell ref="J11:L11"/>
    <mergeCell ref="AA10:AD10"/>
    <mergeCell ref="V9:Z9"/>
    <mergeCell ref="J9:L9"/>
    <mergeCell ref="AE10:AG10"/>
    <mergeCell ref="M8:P8"/>
    <mergeCell ref="V11:Z11"/>
    <mergeCell ref="M5:P5"/>
    <mergeCell ref="Q7:U7"/>
    <mergeCell ref="Q8:U8"/>
    <mergeCell ref="Q6:U6"/>
    <mergeCell ref="M6:P6"/>
    <mergeCell ref="AE8:AG8"/>
    <mergeCell ref="AA7:AD7"/>
    <mergeCell ref="H8:I8"/>
    <mergeCell ref="J7:L7"/>
    <mergeCell ref="B8:G8"/>
    <mergeCell ref="B9:G9"/>
    <mergeCell ref="B7:G7"/>
    <mergeCell ref="V8:Z8"/>
    <mergeCell ref="V7:Z7"/>
    <mergeCell ref="M7:P7"/>
    <mergeCell ref="H7:I7"/>
    <mergeCell ref="V10:Z10"/>
    <mergeCell ref="Q9:U9"/>
    <mergeCell ref="M9:P9"/>
    <mergeCell ref="Q11:U11"/>
    <mergeCell ref="Q10:U10"/>
    <mergeCell ref="M10:P10"/>
    <mergeCell ref="AA5:AD5"/>
    <mergeCell ref="AE4:AG4"/>
    <mergeCell ref="AA8:AD8"/>
    <mergeCell ref="Q4:U4"/>
    <mergeCell ref="AA4:AD4"/>
    <mergeCell ref="V4:Z4"/>
    <mergeCell ref="AA6:AD6"/>
    <mergeCell ref="V6:Z6"/>
    <mergeCell ref="V5:Z5"/>
    <mergeCell ref="AE5:AG5"/>
    <mergeCell ref="AH2:AN2"/>
    <mergeCell ref="Q2:U2"/>
    <mergeCell ref="V3:Z3"/>
    <mergeCell ref="V2:Z2"/>
    <mergeCell ref="Q3:U3"/>
    <mergeCell ref="J2:L2"/>
    <mergeCell ref="J3:L3"/>
    <mergeCell ref="AH3:AN3"/>
    <mergeCell ref="AA3:AD3"/>
    <mergeCell ref="AE3:AG3"/>
    <mergeCell ref="J4:L4"/>
    <mergeCell ref="B2:G2"/>
    <mergeCell ref="H2:I2"/>
    <mergeCell ref="B4:G4"/>
    <mergeCell ref="B3:G3"/>
    <mergeCell ref="H12:I12"/>
    <mergeCell ref="H11:I11"/>
    <mergeCell ref="J10:L10"/>
    <mergeCell ref="H10:I10"/>
    <mergeCell ref="H9:I9"/>
    <mergeCell ref="AT29:AX29"/>
    <mergeCell ref="K20:P20"/>
    <mergeCell ref="F27:N27"/>
    <mergeCell ref="G25:J25"/>
    <mergeCell ref="K23:P23"/>
    <mergeCell ref="G20:J20"/>
    <mergeCell ref="B20:F20"/>
    <mergeCell ref="B22:F22"/>
    <mergeCell ref="B23:F23"/>
    <mergeCell ref="O27:AF27"/>
    <mergeCell ref="B17:F17"/>
    <mergeCell ref="G17:J17"/>
    <mergeCell ref="G21:J21"/>
    <mergeCell ref="H6:I6"/>
    <mergeCell ref="B6:G6"/>
    <mergeCell ref="B15:F15"/>
    <mergeCell ref="B16:F16"/>
    <mergeCell ref="G16:J16"/>
    <mergeCell ref="B19:F19"/>
    <mergeCell ref="G19:J19"/>
    <mergeCell ref="AO2:AU2"/>
    <mergeCell ref="AO3:AU3"/>
    <mergeCell ref="AE2:AG2"/>
    <mergeCell ref="B11:G11"/>
    <mergeCell ref="M2:P2"/>
    <mergeCell ref="H4:I4"/>
    <mergeCell ref="J5:L5"/>
    <mergeCell ref="J6:L6"/>
    <mergeCell ref="B5:G5"/>
    <mergeCell ref="B10:G10"/>
    <mergeCell ref="AC14:AJ15"/>
    <mergeCell ref="AO12:AU12"/>
    <mergeCell ref="AH12:AN12"/>
    <mergeCell ref="AO11:AU11"/>
    <mergeCell ref="AE11:AG11"/>
    <mergeCell ref="AP14:AW15"/>
    <mergeCell ref="AK14:AO15"/>
    <mergeCell ref="AE12:AG12"/>
    <mergeCell ref="AH11:AN11"/>
    <mergeCell ref="AA11:AD11"/>
    <mergeCell ref="B34:E34"/>
    <mergeCell ref="K34:N34"/>
    <mergeCell ref="O33:T33"/>
    <mergeCell ref="K33:N33"/>
    <mergeCell ref="F34:J34"/>
    <mergeCell ref="O34:T34"/>
    <mergeCell ref="F33:J33"/>
    <mergeCell ref="AT30:AX30"/>
    <mergeCell ref="AO30:AS30"/>
    <mergeCell ref="AC19:AJ19"/>
    <mergeCell ref="AG30:AN30"/>
    <mergeCell ref="U29:AF29"/>
    <mergeCell ref="U30:AF30"/>
    <mergeCell ref="AG27:AN28"/>
    <mergeCell ref="AO29:AS29"/>
    <mergeCell ref="Q19:AB19"/>
    <mergeCell ref="AG29:AN29"/>
    <mergeCell ref="AT35:AX35"/>
    <mergeCell ref="O36:T36"/>
    <mergeCell ref="K36:N36"/>
    <mergeCell ref="AO37:AS37"/>
    <mergeCell ref="K37:N37"/>
    <mergeCell ref="AG37:AN37"/>
    <mergeCell ref="U36:AF36"/>
    <mergeCell ref="AO36:AS36"/>
    <mergeCell ref="AG35:AN35"/>
    <mergeCell ref="AO35:AS35"/>
    <mergeCell ref="AT31:AX31"/>
    <mergeCell ref="AT32:AX32"/>
    <mergeCell ref="AG34:AN34"/>
    <mergeCell ref="AG31:AN31"/>
    <mergeCell ref="AG33:AN33"/>
    <mergeCell ref="AT33:AX33"/>
    <mergeCell ref="AT34:AX34"/>
    <mergeCell ref="AG32:AN32"/>
    <mergeCell ref="AO31:AS31"/>
    <mergeCell ref="AO34:AS34"/>
    <mergeCell ref="AO32:AS32"/>
    <mergeCell ref="O32:T32"/>
    <mergeCell ref="O35:T35"/>
    <mergeCell ref="K35:N35"/>
    <mergeCell ref="B29:E29"/>
    <mergeCell ref="K29:N29"/>
    <mergeCell ref="F29:J29"/>
    <mergeCell ref="O29:T29"/>
    <mergeCell ref="B35:E35"/>
    <mergeCell ref="U32:AF32"/>
    <mergeCell ref="B31:E31"/>
    <mergeCell ref="B30:E30"/>
    <mergeCell ref="K31:N31"/>
    <mergeCell ref="K32:N32"/>
    <mergeCell ref="B32:E32"/>
    <mergeCell ref="F31:J31"/>
    <mergeCell ref="F30:J30"/>
    <mergeCell ref="O30:T30"/>
    <mergeCell ref="K30:N30"/>
    <mergeCell ref="F32:J32"/>
    <mergeCell ref="O44:T44"/>
    <mergeCell ref="AT44:AX44"/>
    <mergeCell ref="AO44:AS44"/>
    <mergeCell ref="AG42:AN43"/>
    <mergeCell ref="AO42:AS43"/>
    <mergeCell ref="AG44:AN44"/>
    <mergeCell ref="U44:AF44"/>
    <mergeCell ref="AG36:AN36"/>
    <mergeCell ref="AT36:AX36"/>
    <mergeCell ref="AO40:AS40"/>
    <mergeCell ref="AG40:AN40"/>
    <mergeCell ref="U39:AF39"/>
    <mergeCell ref="AG39:AN39"/>
    <mergeCell ref="AT40:AX40"/>
    <mergeCell ref="U40:AF40"/>
    <mergeCell ref="O38:T38"/>
    <mergeCell ref="AG38:AN38"/>
    <mergeCell ref="AO39:AS39"/>
    <mergeCell ref="AT37:AX37"/>
    <mergeCell ref="AT39:AX39"/>
    <mergeCell ref="AT38:AX38"/>
    <mergeCell ref="AO38:AS38"/>
    <mergeCell ref="O39:T39"/>
    <mergeCell ref="U38:AF38"/>
    <mergeCell ref="U37:AF37"/>
    <mergeCell ref="O40:T40"/>
    <mergeCell ref="B48:E48"/>
    <mergeCell ref="F48:J48"/>
    <mergeCell ref="B47:E47"/>
    <mergeCell ref="F47:J47"/>
    <mergeCell ref="B40:E40"/>
    <mergeCell ref="B44:E44"/>
    <mergeCell ref="B46:E46"/>
    <mergeCell ref="B45:E45"/>
    <mergeCell ref="F43:J43"/>
    <mergeCell ref="AT42:AX43"/>
    <mergeCell ref="O43:T43"/>
    <mergeCell ref="U43:AF43"/>
    <mergeCell ref="F42:N42"/>
    <mergeCell ref="O42:AF42"/>
    <mergeCell ref="AG45:AN45"/>
    <mergeCell ref="AO45:AS45"/>
    <mergeCell ref="U45:AF45"/>
    <mergeCell ref="O45:T45"/>
    <mergeCell ref="K45:N45"/>
    <mergeCell ref="AT48:AX48"/>
    <mergeCell ref="AO47:AS47"/>
    <mergeCell ref="AG48:AN48"/>
    <mergeCell ref="AO48:AS48"/>
    <mergeCell ref="AT45:AX45"/>
    <mergeCell ref="AG46:AN46"/>
    <mergeCell ref="AO46:AS46"/>
    <mergeCell ref="O46:T46"/>
    <mergeCell ref="K48:N48"/>
    <mergeCell ref="O47:T47"/>
    <mergeCell ref="K47:N47"/>
    <mergeCell ref="O48:T48"/>
    <mergeCell ref="U47:AF47"/>
    <mergeCell ref="K46:N46"/>
    <mergeCell ref="U46:AF46"/>
    <mergeCell ref="U50:AF50"/>
    <mergeCell ref="U53:AF53"/>
    <mergeCell ref="AT46:AX46"/>
    <mergeCell ref="U49:AF49"/>
    <mergeCell ref="AO49:AS49"/>
    <mergeCell ref="AG50:AN50"/>
    <mergeCell ref="AG49:AN49"/>
    <mergeCell ref="AG47:AN47"/>
    <mergeCell ref="AT49:AX49"/>
    <mergeCell ref="U48:AF48"/>
    <mergeCell ref="AT53:AX53"/>
    <mergeCell ref="AT52:AX52"/>
    <mergeCell ref="AT47:AX47"/>
    <mergeCell ref="AG53:AN53"/>
    <mergeCell ref="AO53:AS53"/>
    <mergeCell ref="AT50:AX50"/>
    <mergeCell ref="AO51:AS51"/>
    <mergeCell ref="AT51:AX51"/>
    <mergeCell ref="AO50:AS50"/>
    <mergeCell ref="AO52:AS52"/>
    <mergeCell ref="B53:E53"/>
    <mergeCell ref="K52:N52"/>
    <mergeCell ref="K53:N53"/>
    <mergeCell ref="B51:E51"/>
    <mergeCell ref="F50:J50"/>
    <mergeCell ref="O51:T51"/>
    <mergeCell ref="K50:N50"/>
    <mergeCell ref="O50:T50"/>
    <mergeCell ref="B50:E50"/>
    <mergeCell ref="B49:E49"/>
    <mergeCell ref="F49:J49"/>
    <mergeCell ref="K49:N49"/>
    <mergeCell ref="O49:T49"/>
    <mergeCell ref="U54:AF54"/>
    <mergeCell ref="AG54:AN54"/>
    <mergeCell ref="F51:J51"/>
    <mergeCell ref="K51:N51"/>
    <mergeCell ref="U51:AF51"/>
    <mergeCell ref="O52:T52"/>
    <mergeCell ref="AO54:AS54"/>
    <mergeCell ref="AO55:AS55"/>
    <mergeCell ref="U55:AF55"/>
    <mergeCell ref="O54:T54"/>
    <mergeCell ref="F57:N57"/>
    <mergeCell ref="AT57:AX58"/>
    <mergeCell ref="AT55:AX55"/>
    <mergeCell ref="AG55:AN55"/>
    <mergeCell ref="AO57:AS58"/>
    <mergeCell ref="AT54:AX54"/>
    <mergeCell ref="U52:AF52"/>
    <mergeCell ref="AG51:AN51"/>
    <mergeCell ref="AG52:AN52"/>
    <mergeCell ref="B54:E54"/>
    <mergeCell ref="F54:J54"/>
    <mergeCell ref="K54:N54"/>
    <mergeCell ref="B52:E52"/>
    <mergeCell ref="F52:J52"/>
    <mergeCell ref="F53:J53"/>
    <mergeCell ref="O53:T53"/>
    <mergeCell ref="K58:N58"/>
    <mergeCell ref="B55:E55"/>
    <mergeCell ref="F55:J55"/>
    <mergeCell ref="F59:J59"/>
    <mergeCell ref="F58:J58"/>
    <mergeCell ref="B59:E59"/>
    <mergeCell ref="A56:AX56"/>
    <mergeCell ref="A57:A58"/>
    <mergeCell ref="O55:T55"/>
    <mergeCell ref="B57:E58"/>
    <mergeCell ref="O59:T59"/>
    <mergeCell ref="O57:AF57"/>
    <mergeCell ref="K55:N55"/>
    <mergeCell ref="AG59:AN59"/>
    <mergeCell ref="O58:T58"/>
    <mergeCell ref="K59:N59"/>
    <mergeCell ref="AG57:AN58"/>
    <mergeCell ref="U58:AF58"/>
    <mergeCell ref="U60:AF60"/>
    <mergeCell ref="AG60:AN60"/>
    <mergeCell ref="U59:AF59"/>
    <mergeCell ref="AT59:AX59"/>
    <mergeCell ref="O61:T61"/>
    <mergeCell ref="K64:N64"/>
    <mergeCell ref="O64:T64"/>
    <mergeCell ref="AG63:AN63"/>
    <mergeCell ref="U63:AF63"/>
    <mergeCell ref="AO59:AS59"/>
    <mergeCell ref="F62:J62"/>
    <mergeCell ref="AO62:AS62"/>
    <mergeCell ref="U62:AF62"/>
    <mergeCell ref="AG62:AN62"/>
    <mergeCell ref="AG65:AN65"/>
    <mergeCell ref="AO63:AS63"/>
    <mergeCell ref="AG64:AN64"/>
    <mergeCell ref="K65:N65"/>
    <mergeCell ref="B61:E61"/>
    <mergeCell ref="F61:J61"/>
    <mergeCell ref="AO67:AS67"/>
    <mergeCell ref="U64:AF64"/>
    <mergeCell ref="O62:T62"/>
    <mergeCell ref="K63:N63"/>
    <mergeCell ref="O65:T65"/>
    <mergeCell ref="O67:T67"/>
    <mergeCell ref="F66:J66"/>
    <mergeCell ref="U65:AF65"/>
    <mergeCell ref="AT62:AX62"/>
    <mergeCell ref="O60:T60"/>
    <mergeCell ref="B62:E62"/>
    <mergeCell ref="B64:E64"/>
    <mergeCell ref="F63:J63"/>
    <mergeCell ref="F64:J64"/>
    <mergeCell ref="O63:T63"/>
    <mergeCell ref="B63:E63"/>
    <mergeCell ref="B60:E60"/>
    <mergeCell ref="F60:J60"/>
    <mergeCell ref="AG68:AN68"/>
    <mergeCell ref="AT60:AX60"/>
    <mergeCell ref="AO60:AS60"/>
    <mergeCell ref="K60:N60"/>
    <mergeCell ref="K62:N62"/>
    <mergeCell ref="K61:N61"/>
    <mergeCell ref="AG61:AN61"/>
    <mergeCell ref="U61:AF61"/>
    <mergeCell ref="AO61:AS61"/>
    <mergeCell ref="AT61:AX61"/>
    <mergeCell ref="B65:E65"/>
    <mergeCell ref="F65:J65"/>
    <mergeCell ref="U68:AF68"/>
    <mergeCell ref="K67:N67"/>
    <mergeCell ref="B66:E66"/>
    <mergeCell ref="F67:J67"/>
    <mergeCell ref="B67:E67"/>
    <mergeCell ref="F68:J68"/>
    <mergeCell ref="K66:N66"/>
    <mergeCell ref="AT64:AX64"/>
    <mergeCell ref="AT63:AX63"/>
    <mergeCell ref="AO64:AS64"/>
    <mergeCell ref="AO65:AS65"/>
    <mergeCell ref="AT65:AX65"/>
    <mergeCell ref="AT69:AX69"/>
    <mergeCell ref="AO68:AS68"/>
    <mergeCell ref="AT66:AX66"/>
    <mergeCell ref="AG69:AN69"/>
    <mergeCell ref="U69:AF69"/>
    <mergeCell ref="AO69:AS69"/>
    <mergeCell ref="AT68:AX68"/>
    <mergeCell ref="U66:AF66"/>
    <mergeCell ref="O66:T66"/>
    <mergeCell ref="AG66:AN66"/>
    <mergeCell ref="U67:AF67"/>
    <mergeCell ref="AO66:AS66"/>
    <mergeCell ref="AT67:AX67"/>
    <mergeCell ref="AG67:AN67"/>
    <mergeCell ref="A72:A73"/>
    <mergeCell ref="B72:E73"/>
    <mergeCell ref="K73:N73"/>
    <mergeCell ref="B68:E68"/>
    <mergeCell ref="K70:N70"/>
    <mergeCell ref="K69:N69"/>
    <mergeCell ref="F70:J70"/>
    <mergeCell ref="B69:E69"/>
    <mergeCell ref="B70:E70"/>
    <mergeCell ref="F69:J69"/>
    <mergeCell ref="AG74:AN74"/>
    <mergeCell ref="B74:E74"/>
    <mergeCell ref="F74:J74"/>
    <mergeCell ref="F73:J73"/>
    <mergeCell ref="O74:T74"/>
    <mergeCell ref="AG72:AN73"/>
    <mergeCell ref="F72:N72"/>
    <mergeCell ref="K74:N74"/>
    <mergeCell ref="O73:T73"/>
    <mergeCell ref="U73:AF73"/>
    <mergeCell ref="U74:AF74"/>
    <mergeCell ref="O72:AF72"/>
    <mergeCell ref="K68:N68"/>
    <mergeCell ref="O70:T70"/>
    <mergeCell ref="O69:T69"/>
    <mergeCell ref="U70:AF70"/>
    <mergeCell ref="O68:T68"/>
    <mergeCell ref="AO74:AS74"/>
    <mergeCell ref="AT70:AX70"/>
    <mergeCell ref="AG75:AN75"/>
    <mergeCell ref="AO72:AS73"/>
    <mergeCell ref="AT72:AX73"/>
    <mergeCell ref="AG70:AN70"/>
    <mergeCell ref="A71:AX71"/>
    <mergeCell ref="AT75:AX75"/>
    <mergeCell ref="K75:N75"/>
    <mergeCell ref="U75:AF75"/>
    <mergeCell ref="B78:E78"/>
    <mergeCell ref="F78:J78"/>
    <mergeCell ref="AT74:AX74"/>
    <mergeCell ref="AO70:AS70"/>
    <mergeCell ref="O78:T78"/>
    <mergeCell ref="B77:E77"/>
    <mergeCell ref="F77:J77"/>
    <mergeCell ref="K77:N77"/>
    <mergeCell ref="B76:E76"/>
    <mergeCell ref="F76:J76"/>
    <mergeCell ref="AT79:AX79"/>
    <mergeCell ref="AG78:AN78"/>
    <mergeCell ref="AG77:AN77"/>
    <mergeCell ref="K79:N79"/>
    <mergeCell ref="K78:N78"/>
    <mergeCell ref="O79:T79"/>
    <mergeCell ref="O77:T77"/>
    <mergeCell ref="AO77:AS77"/>
    <mergeCell ref="AO78:AS78"/>
    <mergeCell ref="O76:T76"/>
    <mergeCell ref="AO80:AS80"/>
    <mergeCell ref="U80:AF80"/>
    <mergeCell ref="AG80:AN80"/>
    <mergeCell ref="U79:AF79"/>
    <mergeCell ref="AG79:AN79"/>
    <mergeCell ref="AO79:AS79"/>
    <mergeCell ref="U76:AF76"/>
    <mergeCell ref="B75:E75"/>
    <mergeCell ref="AT77:AX77"/>
    <mergeCell ref="U77:AF77"/>
    <mergeCell ref="F75:J75"/>
    <mergeCell ref="K76:N76"/>
    <mergeCell ref="AO75:AS75"/>
    <mergeCell ref="AT76:AX76"/>
    <mergeCell ref="O75:T75"/>
    <mergeCell ref="AG76:AN76"/>
    <mergeCell ref="AO76:AS76"/>
    <mergeCell ref="AT80:AX80"/>
    <mergeCell ref="AT81:AX81"/>
    <mergeCell ref="AT78:AX78"/>
    <mergeCell ref="B79:E79"/>
    <mergeCell ref="F79:J79"/>
    <mergeCell ref="U78:AF78"/>
    <mergeCell ref="B80:E80"/>
    <mergeCell ref="B81:E81"/>
    <mergeCell ref="U81:AF81"/>
    <mergeCell ref="F81:J81"/>
    <mergeCell ref="AO82:AS82"/>
    <mergeCell ref="AO81:AS81"/>
    <mergeCell ref="A86:AD86"/>
    <mergeCell ref="K84:N84"/>
    <mergeCell ref="O84:T84"/>
    <mergeCell ref="B85:E85"/>
    <mergeCell ref="F85:J85"/>
    <mergeCell ref="B82:E82"/>
    <mergeCell ref="F82:J82"/>
    <mergeCell ref="K82:N82"/>
    <mergeCell ref="AT84:AX84"/>
    <mergeCell ref="AO84:AS84"/>
    <mergeCell ref="K80:N80"/>
    <mergeCell ref="F80:J80"/>
    <mergeCell ref="O83:T83"/>
    <mergeCell ref="U83:AF83"/>
    <mergeCell ref="U82:AF82"/>
    <mergeCell ref="O80:T80"/>
    <mergeCell ref="AT83:AX83"/>
    <mergeCell ref="AT82:AX82"/>
    <mergeCell ref="U84:AF84"/>
    <mergeCell ref="AG84:AN84"/>
    <mergeCell ref="O81:T81"/>
    <mergeCell ref="AG83:AN83"/>
    <mergeCell ref="O82:T82"/>
    <mergeCell ref="AG81:AN81"/>
    <mergeCell ref="AG82:AN82"/>
    <mergeCell ref="S128:S129"/>
    <mergeCell ref="A132:F132"/>
    <mergeCell ref="A110:F110"/>
    <mergeCell ref="S104:S105"/>
    <mergeCell ref="A116:F116"/>
    <mergeCell ref="G128:R128"/>
    <mergeCell ref="A122:F122"/>
    <mergeCell ref="A126:F126"/>
    <mergeCell ref="A123:F123"/>
    <mergeCell ref="A125:F125"/>
    <mergeCell ref="K85:N85"/>
    <mergeCell ref="O85:T85"/>
    <mergeCell ref="AT85:AX85"/>
    <mergeCell ref="U85:AF85"/>
    <mergeCell ref="AG85:AN85"/>
    <mergeCell ref="AO85:AS85"/>
    <mergeCell ref="A93:F93"/>
    <mergeCell ref="A87:S87"/>
    <mergeCell ref="A88:F89"/>
    <mergeCell ref="A90:F90"/>
    <mergeCell ref="S88:S89"/>
    <mergeCell ref="A91:F91"/>
    <mergeCell ref="AO83:AS83"/>
    <mergeCell ref="K81:N81"/>
    <mergeCell ref="A128:F129"/>
    <mergeCell ref="A120:F121"/>
    <mergeCell ref="A114:F114"/>
    <mergeCell ref="F83:J83"/>
    <mergeCell ref="K83:N83"/>
    <mergeCell ref="B83:E83"/>
    <mergeCell ref="A94:F94"/>
    <mergeCell ref="B84:E84"/>
    <mergeCell ref="F84:J84"/>
    <mergeCell ref="G88:R88"/>
    <mergeCell ref="A111:S111"/>
    <mergeCell ref="A135:S135"/>
    <mergeCell ref="A127:S127"/>
    <mergeCell ref="A115:F115"/>
    <mergeCell ref="A117:F117"/>
    <mergeCell ref="A118:F118"/>
    <mergeCell ref="S120:S121"/>
    <mergeCell ref="A124:F124"/>
    <mergeCell ref="G120:R120"/>
    <mergeCell ref="A119:S119"/>
    <mergeCell ref="A112:F113"/>
    <mergeCell ref="G112:R112"/>
    <mergeCell ref="S112:S113"/>
    <mergeCell ref="A108:F108"/>
    <mergeCell ref="A104:F105"/>
    <mergeCell ref="G104:R104"/>
    <mergeCell ref="A107:F107"/>
    <mergeCell ref="A106:F106"/>
    <mergeCell ref="S144:S145"/>
    <mergeCell ref="S160:S161"/>
    <mergeCell ref="A157:F157"/>
    <mergeCell ref="G144:R144"/>
    <mergeCell ref="A149:F149"/>
    <mergeCell ref="A136:F137"/>
    <mergeCell ref="A166:F166"/>
    <mergeCell ref="A133:F133"/>
    <mergeCell ref="S136:S137"/>
    <mergeCell ref="A141:F141"/>
    <mergeCell ref="A165:F165"/>
    <mergeCell ref="A154:F154"/>
    <mergeCell ref="A156:F156"/>
    <mergeCell ref="A134:F134"/>
    <mergeCell ref="A162:F162"/>
    <mergeCell ref="A159:S159"/>
    <mergeCell ref="A168:F169"/>
    <mergeCell ref="G184:R184"/>
    <mergeCell ref="F194:G196"/>
    <mergeCell ref="D208:E208"/>
    <mergeCell ref="D207:E207"/>
    <mergeCell ref="M200:O200"/>
    <mergeCell ref="H200:I200"/>
    <mergeCell ref="A184:F185"/>
    <mergeCell ref="G176:R176"/>
    <mergeCell ref="M199:O199"/>
    <mergeCell ref="A164:F164"/>
    <mergeCell ref="A130:F130"/>
    <mergeCell ref="A131:F131"/>
    <mergeCell ref="A150:F150"/>
    <mergeCell ref="A151:S151"/>
    <mergeCell ref="G152:R152"/>
    <mergeCell ref="S152:S153"/>
    <mergeCell ref="A152:F153"/>
    <mergeCell ref="A140:F140"/>
    <mergeCell ref="G136:R136"/>
    <mergeCell ref="A163:F163"/>
    <mergeCell ref="A142:F142"/>
    <mergeCell ref="A146:F146"/>
    <mergeCell ref="A158:F158"/>
    <mergeCell ref="A144:F145"/>
    <mergeCell ref="A147:F147"/>
    <mergeCell ref="A148:F148"/>
    <mergeCell ref="A143:S143"/>
    <mergeCell ref="A160:F161"/>
    <mergeCell ref="G160:R160"/>
    <mergeCell ref="A138:F138"/>
    <mergeCell ref="A139:F139"/>
    <mergeCell ref="A155:F155"/>
    <mergeCell ref="R199:S199"/>
    <mergeCell ref="A188:F188"/>
    <mergeCell ref="B198:C198"/>
    <mergeCell ref="A197:S197"/>
    <mergeCell ref="D192:G193"/>
    <mergeCell ref="R192:S196"/>
    <mergeCell ref="A192:A196"/>
    <mergeCell ref="H192:L192"/>
    <mergeCell ref="J193:L196"/>
    <mergeCell ref="A167:S167"/>
    <mergeCell ref="A171:F171"/>
    <mergeCell ref="A173:F173"/>
    <mergeCell ref="A182:F182"/>
    <mergeCell ref="S176:S177"/>
    <mergeCell ref="G168:R168"/>
    <mergeCell ref="S168:S169"/>
    <mergeCell ref="A175:S175"/>
    <mergeCell ref="A172:F172"/>
    <mergeCell ref="A170:F170"/>
    <mergeCell ref="J209:L209"/>
    <mergeCell ref="B212:C212"/>
    <mergeCell ref="F209:G209"/>
    <mergeCell ref="B209:C209"/>
    <mergeCell ref="D209:E209"/>
    <mergeCell ref="D212:E212"/>
    <mergeCell ref="H212:I212"/>
    <mergeCell ref="F212:G212"/>
    <mergeCell ref="B208:C208"/>
    <mergeCell ref="H210:I210"/>
    <mergeCell ref="P210:Q210"/>
    <mergeCell ref="P204:Q204"/>
    <mergeCell ref="H205:I205"/>
    <mergeCell ref="H209:I209"/>
    <mergeCell ref="P207:Q207"/>
    <mergeCell ref="P209:Q209"/>
    <mergeCell ref="J207:L207"/>
    <mergeCell ref="M207:O207"/>
    <mergeCell ref="B206:C206"/>
    <mergeCell ref="D206:E206"/>
    <mergeCell ref="B207:C207"/>
    <mergeCell ref="F207:G207"/>
    <mergeCell ref="F214:G214"/>
    <mergeCell ref="H214:I214"/>
    <mergeCell ref="F208:G208"/>
    <mergeCell ref="F206:G206"/>
    <mergeCell ref="H206:I206"/>
    <mergeCell ref="B213:C213"/>
    <mergeCell ref="D213:E213"/>
    <mergeCell ref="F213:G213"/>
    <mergeCell ref="H213:I213"/>
    <mergeCell ref="B214:C214"/>
    <mergeCell ref="D214:E214"/>
    <mergeCell ref="J210:L210"/>
    <mergeCell ref="B210:C210"/>
    <mergeCell ref="D210:E210"/>
    <mergeCell ref="F210:G210"/>
    <mergeCell ref="A211:S211"/>
    <mergeCell ref="R210:S210"/>
    <mergeCell ref="P221:Q221"/>
    <mergeCell ref="R223:S223"/>
    <mergeCell ref="M217:O217"/>
    <mergeCell ref="R217:S217"/>
    <mergeCell ref="M221:O221"/>
    <mergeCell ref="R218:S218"/>
    <mergeCell ref="P220:Q220"/>
    <mergeCell ref="R220:S220"/>
    <mergeCell ref="R215:S215"/>
    <mergeCell ref="M213:O213"/>
    <mergeCell ref="J212:L212"/>
    <mergeCell ref="M212:O212"/>
    <mergeCell ref="P213:Q213"/>
    <mergeCell ref="P212:Q212"/>
    <mergeCell ref="P214:Q214"/>
    <mergeCell ref="J213:L213"/>
    <mergeCell ref="J217:L217"/>
    <mergeCell ref="J218:L218"/>
    <mergeCell ref="M214:O214"/>
    <mergeCell ref="J214:L214"/>
    <mergeCell ref="P215:Q215"/>
    <mergeCell ref="P217:Q217"/>
    <mergeCell ref="R214:S214"/>
    <mergeCell ref="R224:S224"/>
    <mergeCell ref="A225:S225"/>
    <mergeCell ref="B226:C226"/>
    <mergeCell ref="M224:O224"/>
    <mergeCell ref="D224:E224"/>
    <mergeCell ref="D226:E226"/>
    <mergeCell ref="B224:C224"/>
    <mergeCell ref="J224:L224"/>
    <mergeCell ref="D223:E223"/>
    <mergeCell ref="R228:S228"/>
    <mergeCell ref="H227:I227"/>
    <mergeCell ref="F218:G218"/>
    <mergeCell ref="H218:I218"/>
    <mergeCell ref="F219:G219"/>
    <mergeCell ref="F220:G220"/>
    <mergeCell ref="H220:I220"/>
    <mergeCell ref="P218:Q218"/>
    <mergeCell ref="R221:S221"/>
    <mergeCell ref="P222:Q222"/>
    <mergeCell ref="B223:C223"/>
    <mergeCell ref="R222:S222"/>
    <mergeCell ref="M222:O222"/>
    <mergeCell ref="B222:C222"/>
    <mergeCell ref="P223:Q223"/>
    <mergeCell ref="B218:C218"/>
    <mergeCell ref="B220:C220"/>
    <mergeCell ref="M219:O219"/>
    <mergeCell ref="D222:E222"/>
    <mergeCell ref="M220:O220"/>
    <mergeCell ref="F224:G224"/>
    <mergeCell ref="J222:L222"/>
    <mergeCell ref="F222:G222"/>
    <mergeCell ref="F221:G221"/>
    <mergeCell ref="J221:L221"/>
    <mergeCell ref="H221:I221"/>
    <mergeCell ref="H222:I222"/>
    <mergeCell ref="F223:G223"/>
    <mergeCell ref="H223:I223"/>
    <mergeCell ref="J223:L223"/>
    <mergeCell ref="B228:C228"/>
    <mergeCell ref="D227:E227"/>
    <mergeCell ref="B227:C227"/>
    <mergeCell ref="F226:G226"/>
    <mergeCell ref="B217:C217"/>
    <mergeCell ref="B219:C219"/>
    <mergeCell ref="D219:E219"/>
    <mergeCell ref="D221:E221"/>
    <mergeCell ref="B221:C221"/>
    <mergeCell ref="D220:E220"/>
    <mergeCell ref="P227:Q227"/>
    <mergeCell ref="M227:O227"/>
    <mergeCell ref="J227:L227"/>
    <mergeCell ref="M223:O223"/>
    <mergeCell ref="P224:Q224"/>
    <mergeCell ref="J226:L226"/>
    <mergeCell ref="M226:O226"/>
    <mergeCell ref="P226:Q226"/>
    <mergeCell ref="H217:I217"/>
    <mergeCell ref="H219:I219"/>
    <mergeCell ref="H224:I224"/>
    <mergeCell ref="B231:C231"/>
    <mergeCell ref="D231:E231"/>
    <mergeCell ref="H229:I229"/>
    <mergeCell ref="D228:E228"/>
    <mergeCell ref="F228:G228"/>
    <mergeCell ref="D217:E217"/>
    <mergeCell ref="D218:E218"/>
    <mergeCell ref="R229:S229"/>
    <mergeCell ref="D229:E229"/>
    <mergeCell ref="J231:L231"/>
    <mergeCell ref="B229:C229"/>
    <mergeCell ref="A230:S230"/>
    <mergeCell ref="M233:O233"/>
    <mergeCell ref="P233:Q233"/>
    <mergeCell ref="F232:G232"/>
    <mergeCell ref="R233:S233"/>
    <mergeCell ref="F233:G233"/>
    <mergeCell ref="B234:C234"/>
    <mergeCell ref="H233:I233"/>
    <mergeCell ref="J229:L229"/>
    <mergeCell ref="D233:E233"/>
    <mergeCell ref="D234:E234"/>
    <mergeCell ref="B232:C232"/>
    <mergeCell ref="D232:E232"/>
    <mergeCell ref="H232:I232"/>
    <mergeCell ref="R226:S226"/>
    <mergeCell ref="J228:L228"/>
    <mergeCell ref="F229:G229"/>
    <mergeCell ref="H228:I228"/>
    <mergeCell ref="P229:Q229"/>
    <mergeCell ref="M229:O229"/>
    <mergeCell ref="M228:O228"/>
    <mergeCell ref="P228:Q228"/>
    <mergeCell ref="F227:G227"/>
    <mergeCell ref="H226:I226"/>
    <mergeCell ref="R237:S237"/>
    <mergeCell ref="J240:L240"/>
    <mergeCell ref="F231:G231"/>
    <mergeCell ref="H231:I231"/>
    <mergeCell ref="M231:O231"/>
    <mergeCell ref="P231:Q231"/>
    <mergeCell ref="P235:Q235"/>
    <mergeCell ref="R235:S235"/>
    <mergeCell ref="J234:L234"/>
    <mergeCell ref="P236:Q236"/>
    <mergeCell ref="D236:E236"/>
    <mergeCell ref="F236:G236"/>
    <mergeCell ref="H236:I236"/>
    <mergeCell ref="R227:S227"/>
    <mergeCell ref="J233:L233"/>
    <mergeCell ref="R231:S231"/>
    <mergeCell ref="R232:S232"/>
    <mergeCell ref="M232:O232"/>
    <mergeCell ref="J232:L232"/>
    <mergeCell ref="P232:Q232"/>
    <mergeCell ref="F234:G234"/>
    <mergeCell ref="M234:O234"/>
    <mergeCell ref="P234:Q234"/>
    <mergeCell ref="J235:L235"/>
    <mergeCell ref="F235:G235"/>
    <mergeCell ref="H235:I235"/>
    <mergeCell ref="H234:I234"/>
    <mergeCell ref="J236:L236"/>
    <mergeCell ref="M236:O236"/>
    <mergeCell ref="R242:S242"/>
    <mergeCell ref="P243:Q243"/>
    <mergeCell ref="B236:C236"/>
    <mergeCell ref="B233:C233"/>
    <mergeCell ref="R238:S238"/>
    <mergeCell ref="P237:Q237"/>
    <mergeCell ref="H238:I238"/>
    <mergeCell ref="P238:Q238"/>
    <mergeCell ref="B235:C235"/>
    <mergeCell ref="D235:E235"/>
    <mergeCell ref="R243:S243"/>
    <mergeCell ref="P247:Q247"/>
    <mergeCell ref="R247:S247"/>
    <mergeCell ref="P246:Q246"/>
    <mergeCell ref="R246:S246"/>
    <mergeCell ref="R245:S245"/>
    <mergeCell ref="P245:Q245"/>
    <mergeCell ref="D247:E247"/>
    <mergeCell ref="D245:E245"/>
    <mergeCell ref="B245:C245"/>
    <mergeCell ref="B248:C248"/>
    <mergeCell ref="B246:C246"/>
    <mergeCell ref="D246:E246"/>
    <mergeCell ref="D249:E249"/>
    <mergeCell ref="M247:O247"/>
    <mergeCell ref="J245:L245"/>
    <mergeCell ref="P241:Q241"/>
    <mergeCell ref="R241:S241"/>
    <mergeCell ref="M241:O241"/>
    <mergeCell ref="M245:O245"/>
    <mergeCell ref="M246:O246"/>
    <mergeCell ref="J247:L247"/>
    <mergeCell ref="M242:O242"/>
    <mergeCell ref="P242:Q242"/>
    <mergeCell ref="R234:S234"/>
    <mergeCell ref="R240:S240"/>
    <mergeCell ref="R236:S236"/>
    <mergeCell ref="J238:L238"/>
    <mergeCell ref="A239:S239"/>
    <mergeCell ref="B238:C238"/>
    <mergeCell ref="M240:O240"/>
    <mergeCell ref="M235:O235"/>
    <mergeCell ref="D240:E240"/>
    <mergeCell ref="F237:G237"/>
    <mergeCell ref="D242:E242"/>
    <mergeCell ref="H237:I237"/>
    <mergeCell ref="J237:L237"/>
    <mergeCell ref="P240:Q240"/>
    <mergeCell ref="D237:E237"/>
    <mergeCell ref="F240:G240"/>
    <mergeCell ref="M238:O238"/>
    <mergeCell ref="M237:O237"/>
    <mergeCell ref="H240:I240"/>
    <mergeCell ref="D243:E243"/>
    <mergeCell ref="B243:C243"/>
    <mergeCell ref="D241:E241"/>
    <mergeCell ref="F242:G242"/>
    <mergeCell ref="B237:C237"/>
    <mergeCell ref="B240:C240"/>
    <mergeCell ref="D238:E238"/>
    <mergeCell ref="F238:G238"/>
    <mergeCell ref="B241:C241"/>
    <mergeCell ref="B242:C242"/>
    <mergeCell ref="H247:I247"/>
    <mergeCell ref="J248:L248"/>
    <mergeCell ref="M243:O243"/>
    <mergeCell ref="J246:L246"/>
    <mergeCell ref="H243:I243"/>
    <mergeCell ref="F243:G243"/>
    <mergeCell ref="H246:I246"/>
    <mergeCell ref="F245:G245"/>
    <mergeCell ref="A244:S244"/>
    <mergeCell ref="F246:G246"/>
    <mergeCell ref="H248:I248"/>
    <mergeCell ref="B252:C252"/>
    <mergeCell ref="F252:G252"/>
    <mergeCell ref="H241:I241"/>
    <mergeCell ref="J241:L241"/>
    <mergeCell ref="F241:G241"/>
    <mergeCell ref="H245:I245"/>
    <mergeCell ref="J242:L242"/>
    <mergeCell ref="H242:I242"/>
    <mergeCell ref="J243:L243"/>
    <mergeCell ref="B251:C251"/>
    <mergeCell ref="J254:L254"/>
    <mergeCell ref="H251:I251"/>
    <mergeCell ref="J251:L251"/>
    <mergeCell ref="J250:L250"/>
    <mergeCell ref="H250:I250"/>
    <mergeCell ref="R248:S248"/>
    <mergeCell ref="R249:S249"/>
    <mergeCell ref="R250:S250"/>
    <mergeCell ref="P250:Q250"/>
    <mergeCell ref="R251:S251"/>
    <mergeCell ref="P251:Q251"/>
    <mergeCell ref="P249:Q249"/>
    <mergeCell ref="P248:Q248"/>
    <mergeCell ref="D251:E251"/>
    <mergeCell ref="F251:G251"/>
    <mergeCell ref="M249:O249"/>
    <mergeCell ref="J249:L249"/>
    <mergeCell ref="J256:L256"/>
    <mergeCell ref="H254:I254"/>
    <mergeCell ref="D254:E254"/>
    <mergeCell ref="F255:G255"/>
    <mergeCell ref="D252:E252"/>
    <mergeCell ref="M251:O251"/>
    <mergeCell ref="F247:G247"/>
    <mergeCell ref="B250:C250"/>
    <mergeCell ref="D250:E250"/>
    <mergeCell ref="F250:G250"/>
    <mergeCell ref="B247:C247"/>
    <mergeCell ref="F248:G248"/>
    <mergeCell ref="D248:E248"/>
    <mergeCell ref="F249:G249"/>
    <mergeCell ref="B249:C249"/>
    <mergeCell ref="A253:S253"/>
    <mergeCell ref="B254:C254"/>
    <mergeCell ref="P252:Q252"/>
    <mergeCell ref="R252:S252"/>
    <mergeCell ref="M255:O255"/>
    <mergeCell ref="H252:I252"/>
    <mergeCell ref="J252:L252"/>
    <mergeCell ref="P255:Q255"/>
    <mergeCell ref="M254:O254"/>
    <mergeCell ref="F254:G254"/>
    <mergeCell ref="M248:O248"/>
    <mergeCell ref="M252:O252"/>
    <mergeCell ref="M250:O250"/>
    <mergeCell ref="H249:I249"/>
    <mergeCell ref="R262:S262"/>
    <mergeCell ref="M262:O262"/>
    <mergeCell ref="R261:S261"/>
    <mergeCell ref="R260:S260"/>
    <mergeCell ref="M261:O261"/>
    <mergeCell ref="P261:Q261"/>
    <mergeCell ref="P262:Q262"/>
    <mergeCell ref="R259:S259"/>
    <mergeCell ref="H259:I259"/>
    <mergeCell ref="R254:S254"/>
    <mergeCell ref="R257:S257"/>
    <mergeCell ref="H257:I257"/>
    <mergeCell ref="M256:O256"/>
    <mergeCell ref="H256:I256"/>
    <mergeCell ref="R256:S256"/>
    <mergeCell ref="P254:Q254"/>
    <mergeCell ref="B259:C259"/>
    <mergeCell ref="D259:E259"/>
    <mergeCell ref="F259:G259"/>
    <mergeCell ref="B255:C255"/>
    <mergeCell ref="J257:L257"/>
    <mergeCell ref="M257:O257"/>
    <mergeCell ref="A258:S258"/>
    <mergeCell ref="P257:Q257"/>
    <mergeCell ref="M259:O259"/>
    <mergeCell ref="R255:S255"/>
    <mergeCell ref="B261:C261"/>
    <mergeCell ref="D261:E261"/>
    <mergeCell ref="F261:G261"/>
    <mergeCell ref="B260:C260"/>
    <mergeCell ref="D260:E260"/>
    <mergeCell ref="F260:G260"/>
    <mergeCell ref="H255:I255"/>
    <mergeCell ref="B257:C257"/>
    <mergeCell ref="D257:E257"/>
    <mergeCell ref="F257:G257"/>
    <mergeCell ref="P256:Q256"/>
    <mergeCell ref="D255:E255"/>
    <mergeCell ref="B256:C256"/>
    <mergeCell ref="D256:E256"/>
    <mergeCell ref="F256:G256"/>
    <mergeCell ref="J255:L255"/>
    <mergeCell ref="H261:I261"/>
    <mergeCell ref="J261:L261"/>
    <mergeCell ref="M263:O263"/>
    <mergeCell ref="M264:O264"/>
    <mergeCell ref="J262:L262"/>
    <mergeCell ref="H262:I262"/>
    <mergeCell ref="P259:Q259"/>
    <mergeCell ref="J259:L259"/>
    <mergeCell ref="H260:I260"/>
    <mergeCell ref="J260:L260"/>
    <mergeCell ref="P260:Q260"/>
    <mergeCell ref="M260:O260"/>
    <mergeCell ref="B268:C268"/>
    <mergeCell ref="H263:I263"/>
    <mergeCell ref="J263:L263"/>
    <mergeCell ref="P268:Q268"/>
    <mergeCell ref="H268:I268"/>
    <mergeCell ref="D265:E265"/>
    <mergeCell ref="B264:C264"/>
    <mergeCell ref="H265:I265"/>
    <mergeCell ref="H266:I266"/>
    <mergeCell ref="R268:S268"/>
    <mergeCell ref="J269:L269"/>
    <mergeCell ref="B262:C262"/>
    <mergeCell ref="D263:E263"/>
    <mergeCell ref="P263:Q263"/>
    <mergeCell ref="F263:G263"/>
    <mergeCell ref="P266:Q266"/>
    <mergeCell ref="R266:S266"/>
    <mergeCell ref="B263:C263"/>
    <mergeCell ref="R263:S263"/>
    <mergeCell ref="B271:C271"/>
    <mergeCell ref="P273:Q273"/>
    <mergeCell ref="R273:S273"/>
    <mergeCell ref="M269:O269"/>
    <mergeCell ref="D270:E270"/>
    <mergeCell ref="D269:E269"/>
    <mergeCell ref="F269:G269"/>
    <mergeCell ref="H269:I269"/>
    <mergeCell ref="H270:I270"/>
    <mergeCell ref="F270:G270"/>
    <mergeCell ref="D262:E262"/>
    <mergeCell ref="F262:G262"/>
    <mergeCell ref="A267:S267"/>
    <mergeCell ref="B273:C273"/>
    <mergeCell ref="R270:S270"/>
    <mergeCell ref="R271:S271"/>
    <mergeCell ref="P271:Q271"/>
    <mergeCell ref="H271:I271"/>
    <mergeCell ref="J270:L270"/>
    <mergeCell ref="J271:L271"/>
    <mergeCell ref="D271:E271"/>
    <mergeCell ref="P270:Q270"/>
    <mergeCell ref="F264:G264"/>
    <mergeCell ref="F265:G265"/>
    <mergeCell ref="P269:Q269"/>
    <mergeCell ref="J264:L264"/>
    <mergeCell ref="M265:O265"/>
    <mergeCell ref="D264:E264"/>
    <mergeCell ref="P264:Q264"/>
    <mergeCell ref="P265:Q265"/>
    <mergeCell ref="B270:C270"/>
    <mergeCell ref="R265:S265"/>
    <mergeCell ref="R264:S264"/>
    <mergeCell ref="B269:C269"/>
    <mergeCell ref="R269:S269"/>
    <mergeCell ref="D268:E268"/>
    <mergeCell ref="F268:G268"/>
    <mergeCell ref="J265:L265"/>
    <mergeCell ref="J266:L266"/>
    <mergeCell ref="J268:L268"/>
    <mergeCell ref="R275:S275"/>
    <mergeCell ref="P274:Q274"/>
    <mergeCell ref="R274:S274"/>
    <mergeCell ref="F274:G274"/>
    <mergeCell ref="F275:G275"/>
    <mergeCell ref="M275:O275"/>
    <mergeCell ref="M274:O274"/>
    <mergeCell ref="P275:Q275"/>
    <mergeCell ref="B274:C274"/>
    <mergeCell ref="D274:E274"/>
    <mergeCell ref="B275:C275"/>
    <mergeCell ref="D275:E275"/>
    <mergeCell ref="A272:S272"/>
    <mergeCell ref="H264:I264"/>
    <mergeCell ref="B266:C266"/>
    <mergeCell ref="B265:C265"/>
    <mergeCell ref="D266:E266"/>
    <mergeCell ref="F266:G266"/>
    <mergeCell ref="F271:G271"/>
    <mergeCell ref="M266:O266"/>
    <mergeCell ref="M268:O268"/>
    <mergeCell ref="D273:E273"/>
    <mergeCell ref="J275:L275"/>
    <mergeCell ref="F273:G273"/>
    <mergeCell ref="H273:I273"/>
    <mergeCell ref="H275:I275"/>
    <mergeCell ref="H274:I274"/>
    <mergeCell ref="J274:L274"/>
    <mergeCell ref="J273:L273"/>
    <mergeCell ref="M273:O273"/>
    <mergeCell ref="M271:O271"/>
    <mergeCell ref="M270:O270"/>
    <mergeCell ref="D280:E280"/>
    <mergeCell ref="F280:G280"/>
    <mergeCell ref="F276:G276"/>
    <mergeCell ref="J279:L279"/>
    <mergeCell ref="H280:I280"/>
    <mergeCell ref="H279:I279"/>
    <mergeCell ref="M278:O278"/>
    <mergeCell ref="M277:O277"/>
    <mergeCell ref="H277:I277"/>
    <mergeCell ref="F279:G279"/>
    <mergeCell ref="B278:C278"/>
    <mergeCell ref="B279:C279"/>
    <mergeCell ref="D278:E278"/>
    <mergeCell ref="D279:E279"/>
    <mergeCell ref="F278:G278"/>
    <mergeCell ref="R280:S280"/>
    <mergeCell ref="A281:S281"/>
    <mergeCell ref="B282:C282"/>
    <mergeCell ref="F283:G283"/>
    <mergeCell ref="P282:Q282"/>
    <mergeCell ref="D282:E282"/>
    <mergeCell ref="J282:L282"/>
    <mergeCell ref="M282:O282"/>
    <mergeCell ref="H282:I282"/>
    <mergeCell ref="D283:E283"/>
    <mergeCell ref="J276:L276"/>
    <mergeCell ref="H276:I276"/>
    <mergeCell ref="M279:O279"/>
    <mergeCell ref="R276:S276"/>
    <mergeCell ref="P277:Q277"/>
    <mergeCell ref="R279:S279"/>
    <mergeCell ref="P279:Q279"/>
    <mergeCell ref="R278:S278"/>
    <mergeCell ref="R277:S277"/>
    <mergeCell ref="P278:Q278"/>
    <mergeCell ref="P276:Q276"/>
    <mergeCell ref="M276:O276"/>
    <mergeCell ref="B280:C280"/>
    <mergeCell ref="R283:S283"/>
    <mergeCell ref="R282:S282"/>
    <mergeCell ref="B283:C283"/>
    <mergeCell ref="F282:G282"/>
    <mergeCell ref="P280:Q280"/>
    <mergeCell ref="J280:L280"/>
    <mergeCell ref="M280:O280"/>
    <mergeCell ref="D277:E277"/>
    <mergeCell ref="B277:C277"/>
    <mergeCell ref="B276:C276"/>
    <mergeCell ref="D276:E276"/>
    <mergeCell ref="F277:G277"/>
    <mergeCell ref="J278:L278"/>
    <mergeCell ref="H278:I278"/>
    <mergeCell ref="J277:L277"/>
    <mergeCell ref="P283:Q283"/>
    <mergeCell ref="J283:L283"/>
    <mergeCell ref="M283:O283"/>
    <mergeCell ref="H283:I283"/>
    <mergeCell ref="R287:S287"/>
    <mergeCell ref="P285:Q285"/>
    <mergeCell ref="R285:S285"/>
    <mergeCell ref="J285:L285"/>
    <mergeCell ref="M285:O285"/>
    <mergeCell ref="A286:S286"/>
    <mergeCell ref="B287:C287"/>
    <mergeCell ref="D287:E287"/>
    <mergeCell ref="F287:G287"/>
    <mergeCell ref="H287:I287"/>
    <mergeCell ref="R284:S284"/>
    <mergeCell ref="B285:C285"/>
    <mergeCell ref="P284:Q284"/>
    <mergeCell ref="B284:C284"/>
    <mergeCell ref="D284:E284"/>
    <mergeCell ref="D285:E285"/>
    <mergeCell ref="P290:Q290"/>
    <mergeCell ref="R290:S290"/>
    <mergeCell ref="M290:O290"/>
    <mergeCell ref="B290:C290"/>
    <mergeCell ref="D290:E290"/>
    <mergeCell ref="F290:G290"/>
    <mergeCell ref="H290:I290"/>
    <mergeCell ref="B289:C289"/>
    <mergeCell ref="D289:E289"/>
    <mergeCell ref="F289:G289"/>
    <mergeCell ref="H289:I289"/>
    <mergeCell ref="B288:C288"/>
    <mergeCell ref="D288:E288"/>
    <mergeCell ref="M291:O291"/>
    <mergeCell ref="F285:G285"/>
    <mergeCell ref="J284:L284"/>
    <mergeCell ref="H285:I285"/>
    <mergeCell ref="F284:G284"/>
    <mergeCell ref="J291:L291"/>
    <mergeCell ref="H284:I284"/>
    <mergeCell ref="M284:O284"/>
    <mergeCell ref="H297:I297"/>
    <mergeCell ref="D293:E293"/>
    <mergeCell ref="P287:Q287"/>
    <mergeCell ref="J287:L287"/>
    <mergeCell ref="M287:O287"/>
    <mergeCell ref="J293:L293"/>
    <mergeCell ref="H293:I293"/>
    <mergeCell ref="J290:L290"/>
    <mergeCell ref="F288:G288"/>
    <mergeCell ref="H288:I288"/>
    <mergeCell ref="J296:L296"/>
    <mergeCell ref="M296:O296"/>
    <mergeCell ref="H296:I296"/>
    <mergeCell ref="M294:O294"/>
    <mergeCell ref="R288:S288"/>
    <mergeCell ref="J289:L289"/>
    <mergeCell ref="M289:O289"/>
    <mergeCell ref="P289:Q289"/>
    <mergeCell ref="R289:S289"/>
    <mergeCell ref="J288:L288"/>
    <mergeCell ref="P288:Q288"/>
    <mergeCell ref="M288:O288"/>
    <mergeCell ref="B297:C297"/>
    <mergeCell ref="D297:E297"/>
    <mergeCell ref="F297:G297"/>
    <mergeCell ref="F293:G293"/>
    <mergeCell ref="F296:G296"/>
    <mergeCell ref="D294:E294"/>
    <mergeCell ref="F294:G294"/>
    <mergeCell ref="B296:C296"/>
    <mergeCell ref="B298:C298"/>
    <mergeCell ref="B299:C299"/>
    <mergeCell ref="R296:S296"/>
    <mergeCell ref="P296:Q296"/>
    <mergeCell ref="P298:Q298"/>
    <mergeCell ref="D296:E296"/>
    <mergeCell ref="J298:L298"/>
    <mergeCell ref="H299:I299"/>
    <mergeCell ref="F299:G299"/>
    <mergeCell ref="D298:E298"/>
    <mergeCell ref="B291:C291"/>
    <mergeCell ref="D291:E291"/>
    <mergeCell ref="F292:G292"/>
    <mergeCell ref="H292:I292"/>
    <mergeCell ref="H291:I291"/>
    <mergeCell ref="F291:G291"/>
    <mergeCell ref="B292:C292"/>
    <mergeCell ref="D292:E292"/>
    <mergeCell ref="R291:S291"/>
    <mergeCell ref="P292:Q292"/>
    <mergeCell ref="P294:Q294"/>
    <mergeCell ref="R294:S294"/>
    <mergeCell ref="P293:Q293"/>
    <mergeCell ref="P291:Q291"/>
    <mergeCell ref="R292:S292"/>
    <mergeCell ref="R293:S293"/>
    <mergeCell ref="D302:E302"/>
    <mergeCell ref="F305:G305"/>
    <mergeCell ref="F301:G301"/>
    <mergeCell ref="D303:E303"/>
    <mergeCell ref="D304:E304"/>
    <mergeCell ref="F304:G304"/>
    <mergeCell ref="F302:G302"/>
    <mergeCell ref="D305:E305"/>
    <mergeCell ref="R310:S310"/>
    <mergeCell ref="P305:Q305"/>
    <mergeCell ref="M305:O305"/>
    <mergeCell ref="R305:S305"/>
    <mergeCell ref="P306:Q306"/>
    <mergeCell ref="P308:Q308"/>
    <mergeCell ref="F298:G298"/>
    <mergeCell ref="H298:I298"/>
    <mergeCell ref="P299:Q299"/>
    <mergeCell ref="M298:O298"/>
    <mergeCell ref="J302:L302"/>
    <mergeCell ref="H301:I301"/>
    <mergeCell ref="M299:O299"/>
    <mergeCell ref="H302:I302"/>
    <mergeCell ref="P301:Q301"/>
    <mergeCell ref="M301:O301"/>
    <mergeCell ref="P297:Q297"/>
    <mergeCell ref="J297:L297"/>
    <mergeCell ref="J299:L299"/>
    <mergeCell ref="M297:O297"/>
    <mergeCell ref="R301:S301"/>
    <mergeCell ref="M303:O303"/>
    <mergeCell ref="P303:Q303"/>
    <mergeCell ref="R302:S302"/>
    <mergeCell ref="M302:O302"/>
    <mergeCell ref="A300:S300"/>
    <mergeCell ref="D299:E299"/>
    <mergeCell ref="A295:S295"/>
    <mergeCell ref="B301:C301"/>
    <mergeCell ref="B302:C302"/>
    <mergeCell ref="D301:E301"/>
    <mergeCell ref="R297:S297"/>
    <mergeCell ref="R299:S299"/>
    <mergeCell ref="R298:S298"/>
    <mergeCell ref="J301:L301"/>
    <mergeCell ref="M292:O292"/>
    <mergeCell ref="B293:C293"/>
    <mergeCell ref="J292:L292"/>
    <mergeCell ref="B294:C294"/>
    <mergeCell ref="M293:O293"/>
    <mergeCell ref="H294:I294"/>
    <mergeCell ref="J294:L294"/>
    <mergeCell ref="H311:I311"/>
    <mergeCell ref="F303:G303"/>
    <mergeCell ref="J305:L305"/>
    <mergeCell ref="H305:I305"/>
    <mergeCell ref="J304:L304"/>
    <mergeCell ref="J303:L303"/>
    <mergeCell ref="J311:L311"/>
    <mergeCell ref="H304:I304"/>
    <mergeCell ref="H303:I303"/>
    <mergeCell ref="H306:I306"/>
    <mergeCell ref="D310:E310"/>
    <mergeCell ref="H310:I310"/>
    <mergeCell ref="J306:L306"/>
    <mergeCell ref="M306:O306"/>
    <mergeCell ref="D306:E306"/>
    <mergeCell ref="F306:G306"/>
    <mergeCell ref="J308:L308"/>
    <mergeCell ref="H308:I308"/>
    <mergeCell ref="J307:L307"/>
    <mergeCell ref="H307:I307"/>
    <mergeCell ref="F308:G308"/>
    <mergeCell ref="B304:C304"/>
    <mergeCell ref="B303:C303"/>
    <mergeCell ref="B305:C305"/>
    <mergeCell ref="D307:E307"/>
    <mergeCell ref="F307:G307"/>
    <mergeCell ref="B306:C306"/>
    <mergeCell ref="B311:C311"/>
    <mergeCell ref="M307:O307"/>
    <mergeCell ref="M308:O308"/>
    <mergeCell ref="R308:S308"/>
    <mergeCell ref="P304:Q304"/>
    <mergeCell ref="M304:O304"/>
    <mergeCell ref="P307:Q307"/>
    <mergeCell ref="B307:C307"/>
    <mergeCell ref="B308:C308"/>
    <mergeCell ref="D308:E308"/>
    <mergeCell ref="P313:Q313"/>
    <mergeCell ref="M311:O311"/>
    <mergeCell ref="M310:O310"/>
    <mergeCell ref="A309:S309"/>
    <mergeCell ref="J310:L310"/>
    <mergeCell ref="F311:G311"/>
    <mergeCell ref="B310:C310"/>
    <mergeCell ref="D311:E311"/>
    <mergeCell ref="F310:G310"/>
    <mergeCell ref="P311:Q311"/>
    <mergeCell ref="J312:L312"/>
    <mergeCell ref="B313:C313"/>
    <mergeCell ref="D316:E316"/>
    <mergeCell ref="D313:E313"/>
    <mergeCell ref="H312:I312"/>
    <mergeCell ref="A314:S314"/>
    <mergeCell ref="B315:C315"/>
    <mergeCell ref="B312:C312"/>
    <mergeCell ref="D312:E312"/>
    <mergeCell ref="D315:E315"/>
    <mergeCell ref="M316:O316"/>
    <mergeCell ref="M317:O317"/>
    <mergeCell ref="R316:S316"/>
    <mergeCell ref="R315:S315"/>
    <mergeCell ref="J315:L315"/>
    <mergeCell ref="M315:O315"/>
    <mergeCell ref="F315:G315"/>
    <mergeCell ref="H315:I315"/>
    <mergeCell ref="H313:I313"/>
    <mergeCell ref="F313:G313"/>
    <mergeCell ref="F312:G312"/>
    <mergeCell ref="R312:S312"/>
    <mergeCell ref="P312:Q312"/>
    <mergeCell ref="J313:L313"/>
    <mergeCell ref="M313:O313"/>
    <mergeCell ref="M312:O312"/>
    <mergeCell ref="H320:I320"/>
    <mergeCell ref="H317:I317"/>
    <mergeCell ref="B318:C318"/>
    <mergeCell ref="B317:C317"/>
    <mergeCell ref="P317:Q317"/>
    <mergeCell ref="J316:L316"/>
    <mergeCell ref="J318:L318"/>
    <mergeCell ref="M318:O318"/>
    <mergeCell ref="P318:Q318"/>
    <mergeCell ref="P316:Q316"/>
    <mergeCell ref="A323:S323"/>
    <mergeCell ref="B319:C319"/>
    <mergeCell ref="H322:I322"/>
    <mergeCell ref="B322:C322"/>
    <mergeCell ref="M321:O321"/>
    <mergeCell ref="B326:C326"/>
    <mergeCell ref="D319:E319"/>
    <mergeCell ref="B320:C320"/>
    <mergeCell ref="D320:E320"/>
    <mergeCell ref="F320:G320"/>
    <mergeCell ref="R317:S317"/>
    <mergeCell ref="F318:G318"/>
    <mergeCell ref="R318:S318"/>
    <mergeCell ref="P321:Q321"/>
    <mergeCell ref="R321:S321"/>
    <mergeCell ref="M320:O320"/>
    <mergeCell ref="P319:Q319"/>
    <mergeCell ref="M319:O319"/>
    <mergeCell ref="R319:S319"/>
    <mergeCell ref="R320:S320"/>
    <mergeCell ref="B316:C316"/>
    <mergeCell ref="J317:L317"/>
    <mergeCell ref="H318:I318"/>
    <mergeCell ref="F316:G316"/>
    <mergeCell ref="H316:I316"/>
    <mergeCell ref="D317:E317"/>
    <mergeCell ref="F317:G317"/>
    <mergeCell ref="D318:E318"/>
    <mergeCell ref="P331:Q331"/>
    <mergeCell ref="H325:I325"/>
    <mergeCell ref="B321:C321"/>
    <mergeCell ref="D321:E321"/>
    <mergeCell ref="H329:I329"/>
    <mergeCell ref="B324:C324"/>
    <mergeCell ref="B325:C325"/>
    <mergeCell ref="D325:E325"/>
    <mergeCell ref="F325:G325"/>
    <mergeCell ref="H326:I326"/>
    <mergeCell ref="J320:L320"/>
    <mergeCell ref="F319:G319"/>
    <mergeCell ref="F327:G327"/>
    <mergeCell ref="D326:E326"/>
    <mergeCell ref="F326:G326"/>
    <mergeCell ref="D327:E327"/>
    <mergeCell ref="D322:E322"/>
    <mergeCell ref="F322:G322"/>
    <mergeCell ref="F321:G321"/>
    <mergeCell ref="D324:E324"/>
    <mergeCell ref="P325:Q325"/>
    <mergeCell ref="R322:S322"/>
    <mergeCell ref="H319:I319"/>
    <mergeCell ref="P320:Q320"/>
    <mergeCell ref="H321:I321"/>
    <mergeCell ref="P322:Q322"/>
    <mergeCell ref="J321:L321"/>
    <mergeCell ref="J322:L322"/>
    <mergeCell ref="M322:O322"/>
    <mergeCell ref="J319:L319"/>
    <mergeCell ref="M324:O324"/>
    <mergeCell ref="F324:G324"/>
    <mergeCell ref="M325:O325"/>
    <mergeCell ref="H324:I324"/>
    <mergeCell ref="J325:L325"/>
    <mergeCell ref="M327:O327"/>
    <mergeCell ref="J326:L326"/>
    <mergeCell ref="J324:L324"/>
    <mergeCell ref="P326:Q326"/>
    <mergeCell ref="M326:O326"/>
    <mergeCell ref="P327:Q327"/>
    <mergeCell ref="J327:L327"/>
    <mergeCell ref="H327:I327"/>
    <mergeCell ref="B327:C327"/>
    <mergeCell ref="B330:C330"/>
    <mergeCell ref="D330:E330"/>
    <mergeCell ref="H330:I330"/>
    <mergeCell ref="A328:S328"/>
    <mergeCell ref="B329:C329"/>
    <mergeCell ref="D329:E329"/>
    <mergeCell ref="P330:Q330"/>
    <mergeCell ref="R327:S327"/>
    <mergeCell ref="J330:L330"/>
    <mergeCell ref="J329:L329"/>
    <mergeCell ref="F330:G330"/>
    <mergeCell ref="M331:O331"/>
    <mergeCell ref="M329:O329"/>
    <mergeCell ref="M330:O330"/>
    <mergeCell ref="J331:L331"/>
    <mergeCell ref="F329:G329"/>
    <mergeCell ref="H331:I331"/>
    <mergeCell ref="F331:G331"/>
    <mergeCell ref="B334:C334"/>
    <mergeCell ref="B333:C333"/>
    <mergeCell ref="D333:E333"/>
    <mergeCell ref="B332:C332"/>
    <mergeCell ref="D331:E331"/>
    <mergeCell ref="F332:G332"/>
    <mergeCell ref="B331:C331"/>
    <mergeCell ref="D332:E332"/>
    <mergeCell ref="J334:L334"/>
    <mergeCell ref="D334:E334"/>
    <mergeCell ref="F334:G334"/>
    <mergeCell ref="J333:L333"/>
    <mergeCell ref="F333:G333"/>
    <mergeCell ref="H333:I333"/>
    <mergeCell ref="R334:S334"/>
    <mergeCell ref="P334:Q334"/>
    <mergeCell ref="P333:Q333"/>
    <mergeCell ref="H332:I332"/>
    <mergeCell ref="M332:O332"/>
    <mergeCell ref="M335:O335"/>
    <mergeCell ref="H335:I335"/>
    <mergeCell ref="M334:O334"/>
    <mergeCell ref="J332:L332"/>
    <mergeCell ref="H334:I334"/>
    <mergeCell ref="J340:L340"/>
    <mergeCell ref="B335:C335"/>
    <mergeCell ref="M339:O339"/>
    <mergeCell ref="D339:E339"/>
    <mergeCell ref="F340:G340"/>
    <mergeCell ref="M340:O340"/>
    <mergeCell ref="H340:I340"/>
    <mergeCell ref="D335:E335"/>
    <mergeCell ref="J338:L338"/>
    <mergeCell ref="J335:L335"/>
    <mergeCell ref="H338:I338"/>
    <mergeCell ref="H336:I336"/>
    <mergeCell ref="D338:E338"/>
    <mergeCell ref="F338:G338"/>
    <mergeCell ref="J339:L339"/>
    <mergeCell ref="M336:O336"/>
    <mergeCell ref="J336:L336"/>
    <mergeCell ref="M338:O338"/>
    <mergeCell ref="B344:C344"/>
    <mergeCell ref="D344:E344"/>
    <mergeCell ref="H341:I341"/>
    <mergeCell ref="P343:Q343"/>
    <mergeCell ref="H343:I343"/>
    <mergeCell ref="M343:O343"/>
    <mergeCell ref="B343:C343"/>
    <mergeCell ref="F344:G344"/>
    <mergeCell ref="A342:S342"/>
    <mergeCell ref="B341:C341"/>
    <mergeCell ref="D341:E341"/>
    <mergeCell ref="R344:S344"/>
    <mergeCell ref="P341:Q341"/>
    <mergeCell ref="J341:L341"/>
    <mergeCell ref="M341:O341"/>
    <mergeCell ref="P344:Q344"/>
    <mergeCell ref="F341:G341"/>
    <mergeCell ref="R341:S341"/>
    <mergeCell ref="D343:E343"/>
    <mergeCell ref="F343:G343"/>
    <mergeCell ref="J343:L343"/>
    <mergeCell ref="R343:S343"/>
    <mergeCell ref="B353:C353"/>
    <mergeCell ref="D355:E355"/>
    <mergeCell ref="D354:E354"/>
    <mergeCell ref="D353:E353"/>
    <mergeCell ref="B348:C348"/>
    <mergeCell ref="D348:E348"/>
    <mergeCell ref="F348:G348"/>
    <mergeCell ref="H349:I349"/>
    <mergeCell ref="H344:I344"/>
    <mergeCell ref="J344:L344"/>
    <mergeCell ref="J347:L347"/>
    <mergeCell ref="J348:L348"/>
    <mergeCell ref="B345:C345"/>
    <mergeCell ref="D345:E345"/>
    <mergeCell ref="F345:G345"/>
    <mergeCell ref="J346:L346"/>
    <mergeCell ref="B346:C346"/>
    <mergeCell ref="D346:E346"/>
    <mergeCell ref="H346:I346"/>
    <mergeCell ref="F346:G346"/>
    <mergeCell ref="H345:I345"/>
    <mergeCell ref="J345:L345"/>
    <mergeCell ref="B347:C347"/>
    <mergeCell ref="D347:E347"/>
    <mergeCell ref="F347:G347"/>
    <mergeCell ref="H347:I347"/>
    <mergeCell ref="F349:G349"/>
    <mergeCell ref="B350:C350"/>
    <mergeCell ref="B364:C364"/>
    <mergeCell ref="B355:C355"/>
    <mergeCell ref="F361:G361"/>
    <mergeCell ref="B359:C359"/>
    <mergeCell ref="D359:E359"/>
    <mergeCell ref="D357:E357"/>
    <mergeCell ref="B349:C349"/>
    <mergeCell ref="H367:I367"/>
    <mergeCell ref="D369:E369"/>
    <mergeCell ref="F369:G369"/>
    <mergeCell ref="B369:C369"/>
    <mergeCell ref="A365:S365"/>
    <mergeCell ref="F355:G355"/>
    <mergeCell ref="H353:I353"/>
    <mergeCell ref="B366:C366"/>
    <mergeCell ref="D349:E349"/>
    <mergeCell ref="H360:I360"/>
    <mergeCell ref="B361:C361"/>
    <mergeCell ref="B362:C362"/>
    <mergeCell ref="P369:Q369"/>
    <mergeCell ref="H368:I368"/>
    <mergeCell ref="M368:O368"/>
    <mergeCell ref="J368:L368"/>
    <mergeCell ref="M369:O369"/>
    <mergeCell ref="H369:I369"/>
    <mergeCell ref="F366:G366"/>
    <mergeCell ref="H352:I352"/>
    <mergeCell ref="H350:I350"/>
    <mergeCell ref="D350:E350"/>
    <mergeCell ref="B368:C368"/>
    <mergeCell ref="R369:S369"/>
    <mergeCell ref="J353:L353"/>
    <mergeCell ref="D366:E366"/>
    <mergeCell ref="B354:C354"/>
    <mergeCell ref="R368:S368"/>
    <mergeCell ref="R355:S355"/>
    <mergeCell ref="AF212:AH212"/>
    <mergeCell ref="AK212:AL212"/>
    <mergeCell ref="AI212:AJ212"/>
    <mergeCell ref="M354:O354"/>
    <mergeCell ref="M353:O353"/>
    <mergeCell ref="P345:Q345"/>
    <mergeCell ref="M344:O344"/>
    <mergeCell ref="P339:Q339"/>
    <mergeCell ref="P340:Q340"/>
    <mergeCell ref="P332:Q332"/>
    <mergeCell ref="B373:C373"/>
    <mergeCell ref="F374:G374"/>
    <mergeCell ref="D375:E375"/>
    <mergeCell ref="T210:AL210"/>
    <mergeCell ref="T211:AL211"/>
    <mergeCell ref="U212:V212"/>
    <mergeCell ref="W212:X212"/>
    <mergeCell ref="Y212:Z212"/>
    <mergeCell ref="AA212:AB212"/>
    <mergeCell ref="AC212:AE212"/>
    <mergeCell ref="F377:G377"/>
    <mergeCell ref="H377:I377"/>
    <mergeCell ref="B376:C376"/>
    <mergeCell ref="D376:E376"/>
    <mergeCell ref="H376:I376"/>
    <mergeCell ref="F376:G376"/>
    <mergeCell ref="R377:S377"/>
    <mergeCell ref="R375:S375"/>
    <mergeCell ref="J376:L376"/>
    <mergeCell ref="R376:S376"/>
    <mergeCell ref="P376:Q376"/>
    <mergeCell ref="M376:O376"/>
    <mergeCell ref="J375:L375"/>
    <mergeCell ref="M375:O375"/>
    <mergeCell ref="J377:L377"/>
    <mergeCell ref="P377:Q377"/>
    <mergeCell ref="M348:O348"/>
    <mergeCell ref="D364:E364"/>
    <mergeCell ref="J362:L362"/>
    <mergeCell ref="H361:I361"/>
    <mergeCell ref="F362:G362"/>
    <mergeCell ref="D361:E361"/>
    <mergeCell ref="J349:L349"/>
    <mergeCell ref="M352:O352"/>
    <mergeCell ref="M349:O349"/>
    <mergeCell ref="A351:S351"/>
    <mergeCell ref="AC213:AE213"/>
    <mergeCell ref="AK213:AL213"/>
    <mergeCell ref="AC214:AE214"/>
    <mergeCell ref="AF213:AH213"/>
    <mergeCell ref="AI213:AJ213"/>
    <mergeCell ref="AF214:AH214"/>
    <mergeCell ref="Y213:Z213"/>
    <mergeCell ref="P315:Q315"/>
    <mergeCell ref="Y214:Z214"/>
    <mergeCell ref="R311:S311"/>
    <mergeCell ref="P310:Q310"/>
    <mergeCell ref="U213:V213"/>
    <mergeCell ref="R304:S304"/>
    <mergeCell ref="R306:S306"/>
    <mergeCell ref="R303:S303"/>
    <mergeCell ref="P302:Q302"/>
    <mergeCell ref="AK215:AL215"/>
    <mergeCell ref="W214:X214"/>
    <mergeCell ref="B360:C360"/>
    <mergeCell ref="H348:I348"/>
    <mergeCell ref="AK214:AL214"/>
    <mergeCell ref="AI214:AJ214"/>
    <mergeCell ref="P353:Q353"/>
    <mergeCell ref="R352:S352"/>
    <mergeCell ref="P352:Q352"/>
    <mergeCell ref="P355:Q355"/>
    <mergeCell ref="D362:E362"/>
    <mergeCell ref="D360:E360"/>
    <mergeCell ref="F360:G360"/>
    <mergeCell ref="D352:E352"/>
    <mergeCell ref="F352:G352"/>
    <mergeCell ref="AF215:AH215"/>
    <mergeCell ref="F359:G359"/>
    <mergeCell ref="P357:Q357"/>
    <mergeCell ref="H355:I355"/>
    <mergeCell ref="J355:L355"/>
    <mergeCell ref="W213:X213"/>
    <mergeCell ref="R346:S346"/>
    <mergeCell ref="P336:Q336"/>
    <mergeCell ref="R345:S345"/>
    <mergeCell ref="P349:Q349"/>
    <mergeCell ref="F350:G350"/>
    <mergeCell ref="R331:S331"/>
    <mergeCell ref="M333:O333"/>
    <mergeCell ref="M350:O350"/>
    <mergeCell ref="R307:S307"/>
    <mergeCell ref="AA213:AB213"/>
    <mergeCell ref="U214:V214"/>
    <mergeCell ref="P347:Q347"/>
    <mergeCell ref="AC215:AE215"/>
    <mergeCell ref="R330:S330"/>
    <mergeCell ref="R329:S329"/>
    <mergeCell ref="P338:Q338"/>
    <mergeCell ref="AA214:AB214"/>
    <mergeCell ref="Y215:Z215"/>
    <mergeCell ref="R313:S313"/>
    <mergeCell ref="H339:I339"/>
    <mergeCell ref="B357:C357"/>
    <mergeCell ref="B358:C358"/>
    <mergeCell ref="D358:E358"/>
    <mergeCell ref="F357:G357"/>
    <mergeCell ref="J358:L358"/>
    <mergeCell ref="J357:L357"/>
    <mergeCell ref="H357:I357"/>
    <mergeCell ref="F358:G358"/>
    <mergeCell ref="B352:C352"/>
    <mergeCell ref="R354:S354"/>
    <mergeCell ref="J354:L354"/>
    <mergeCell ref="H354:I354"/>
    <mergeCell ref="J350:L350"/>
    <mergeCell ref="M345:O345"/>
    <mergeCell ref="J352:L352"/>
    <mergeCell ref="P350:Q350"/>
    <mergeCell ref="P346:Q346"/>
    <mergeCell ref="M347:O347"/>
    <mergeCell ref="M346:O346"/>
    <mergeCell ref="R349:S349"/>
    <mergeCell ref="P348:Q348"/>
    <mergeCell ref="P329:Q329"/>
    <mergeCell ref="R325:S325"/>
    <mergeCell ref="P324:Q324"/>
    <mergeCell ref="R324:S324"/>
    <mergeCell ref="R336:S336"/>
    <mergeCell ref="R338:S338"/>
    <mergeCell ref="R332:S332"/>
    <mergeCell ref="P335:Q335"/>
    <mergeCell ref="J381:L384"/>
    <mergeCell ref="J372:L372"/>
    <mergeCell ref="M373:O373"/>
    <mergeCell ref="M374:O374"/>
    <mergeCell ref="M372:O372"/>
    <mergeCell ref="M378:O378"/>
    <mergeCell ref="M377:O377"/>
    <mergeCell ref="J373:L373"/>
    <mergeCell ref="M380:O384"/>
    <mergeCell ref="M355:O355"/>
    <mergeCell ref="P358:Q358"/>
    <mergeCell ref="M358:O358"/>
    <mergeCell ref="R374:S374"/>
    <mergeCell ref="P374:Q374"/>
    <mergeCell ref="R373:S373"/>
    <mergeCell ref="M361:O361"/>
    <mergeCell ref="R360:S360"/>
    <mergeCell ref="R363:S363"/>
    <mergeCell ref="R357:S357"/>
    <mergeCell ref="AI215:AJ215"/>
    <mergeCell ref="P361:Q361"/>
    <mergeCell ref="U215:V215"/>
    <mergeCell ref="R326:S326"/>
    <mergeCell ref="AA215:AB215"/>
    <mergeCell ref="R350:S350"/>
    <mergeCell ref="R353:S353"/>
    <mergeCell ref="W215:X215"/>
    <mergeCell ref="R347:S347"/>
    <mergeCell ref="P354:Q354"/>
    <mergeCell ref="P380:Q384"/>
    <mergeCell ref="F382:G384"/>
    <mergeCell ref="P378:Q378"/>
    <mergeCell ref="J378:L378"/>
    <mergeCell ref="H380:L380"/>
    <mergeCell ref="D380:G381"/>
    <mergeCell ref="D382:E384"/>
    <mergeCell ref="F378:G378"/>
    <mergeCell ref="H378:I378"/>
    <mergeCell ref="H381:I384"/>
    <mergeCell ref="H375:I375"/>
    <mergeCell ref="M367:O367"/>
    <mergeCell ref="H362:I362"/>
    <mergeCell ref="J374:L374"/>
    <mergeCell ref="H366:I366"/>
    <mergeCell ref="M371:O371"/>
    <mergeCell ref="J369:L369"/>
    <mergeCell ref="J366:L366"/>
    <mergeCell ref="R372:S372"/>
    <mergeCell ref="P372:Q372"/>
    <mergeCell ref="P371:Q371"/>
    <mergeCell ref="P373:Q373"/>
    <mergeCell ref="H364:I364"/>
    <mergeCell ref="H363:I363"/>
    <mergeCell ref="J364:L364"/>
    <mergeCell ref="P364:Q364"/>
    <mergeCell ref="P363:Q363"/>
    <mergeCell ref="R362:S362"/>
    <mergeCell ref="R361:S361"/>
    <mergeCell ref="P367:Q367"/>
    <mergeCell ref="J363:L363"/>
    <mergeCell ref="H371:I371"/>
    <mergeCell ref="A370:S370"/>
    <mergeCell ref="J371:L371"/>
    <mergeCell ref="R371:S371"/>
    <mergeCell ref="J361:L361"/>
    <mergeCell ref="F363:G363"/>
    <mergeCell ref="H358:I358"/>
    <mergeCell ref="R358:S358"/>
    <mergeCell ref="R359:S359"/>
    <mergeCell ref="P359:Q359"/>
    <mergeCell ref="H359:I359"/>
    <mergeCell ref="J367:L367"/>
    <mergeCell ref="R367:S367"/>
    <mergeCell ref="M363:O363"/>
    <mergeCell ref="M360:O360"/>
    <mergeCell ref="J360:L360"/>
    <mergeCell ref="D372:E372"/>
    <mergeCell ref="D363:E363"/>
    <mergeCell ref="H374:I374"/>
    <mergeCell ref="D374:E374"/>
    <mergeCell ref="D373:E373"/>
    <mergeCell ref="F373:G373"/>
    <mergeCell ref="F371:G371"/>
    <mergeCell ref="H373:I373"/>
    <mergeCell ref="F372:G372"/>
    <mergeCell ref="D368:E368"/>
    <mergeCell ref="F364:G364"/>
    <mergeCell ref="A356:S356"/>
    <mergeCell ref="R339:S339"/>
    <mergeCell ref="R333:S333"/>
    <mergeCell ref="F339:G339"/>
    <mergeCell ref="R340:S340"/>
    <mergeCell ref="R335:S335"/>
    <mergeCell ref="A337:S337"/>
    <mergeCell ref="R348:S348"/>
    <mergeCell ref="D371:E371"/>
    <mergeCell ref="P362:Q362"/>
    <mergeCell ref="M364:O364"/>
    <mergeCell ref="R364:S364"/>
    <mergeCell ref="P366:Q366"/>
    <mergeCell ref="M366:O366"/>
    <mergeCell ref="R366:S366"/>
    <mergeCell ref="M362:O362"/>
    <mergeCell ref="F368:G368"/>
    <mergeCell ref="P368:Q368"/>
    <mergeCell ref="B336:C336"/>
    <mergeCell ref="D336:E336"/>
    <mergeCell ref="F336:G336"/>
    <mergeCell ref="F335:G335"/>
    <mergeCell ref="P386:Q386"/>
    <mergeCell ref="J386:L386"/>
    <mergeCell ref="B338:C338"/>
    <mergeCell ref="B340:C340"/>
    <mergeCell ref="D340:E340"/>
    <mergeCell ref="B339:C339"/>
    <mergeCell ref="F354:G354"/>
    <mergeCell ref="F353:G353"/>
    <mergeCell ref="P360:Q360"/>
    <mergeCell ref="R380:S384"/>
    <mergeCell ref="F367:G367"/>
    <mergeCell ref="H372:I372"/>
    <mergeCell ref="M357:O357"/>
    <mergeCell ref="M359:O359"/>
    <mergeCell ref="F375:G375"/>
    <mergeCell ref="J359:L359"/>
    <mergeCell ref="A380:A384"/>
    <mergeCell ref="B367:C367"/>
    <mergeCell ref="B372:C372"/>
    <mergeCell ref="B380:C384"/>
    <mergeCell ref="B375:C375"/>
    <mergeCell ref="A379:S379"/>
    <mergeCell ref="R378:S378"/>
    <mergeCell ref="P375:Q375"/>
    <mergeCell ref="D367:E367"/>
    <mergeCell ref="B374:C374"/>
    <mergeCell ref="M391:O391"/>
    <mergeCell ref="D392:E392"/>
    <mergeCell ref="F392:G392"/>
    <mergeCell ref="H392:I392"/>
    <mergeCell ref="J391:L391"/>
    <mergeCell ref="M392:O392"/>
    <mergeCell ref="D387:E387"/>
    <mergeCell ref="F387:G387"/>
    <mergeCell ref="B363:C363"/>
    <mergeCell ref="B386:C386"/>
    <mergeCell ref="D386:E386"/>
    <mergeCell ref="B378:C378"/>
    <mergeCell ref="D378:E378"/>
    <mergeCell ref="B371:C371"/>
    <mergeCell ref="B377:C377"/>
    <mergeCell ref="D377:E377"/>
    <mergeCell ref="A385:S385"/>
    <mergeCell ref="H387:I387"/>
    <mergeCell ref="M387:O387"/>
    <mergeCell ref="R386:S386"/>
    <mergeCell ref="B387:C387"/>
    <mergeCell ref="J387:L387"/>
    <mergeCell ref="R387:S387"/>
    <mergeCell ref="P387:Q387"/>
    <mergeCell ref="M386:O386"/>
    <mergeCell ref="F386:G386"/>
    <mergeCell ref="H386:I386"/>
    <mergeCell ref="M388:O388"/>
    <mergeCell ref="B391:C391"/>
    <mergeCell ref="D391:E391"/>
    <mergeCell ref="F389:G389"/>
    <mergeCell ref="A390:S390"/>
    <mergeCell ref="J389:L389"/>
    <mergeCell ref="B389:C389"/>
    <mergeCell ref="D389:E389"/>
    <mergeCell ref="F391:G391"/>
    <mergeCell ref="R389:S389"/>
    <mergeCell ref="B388:C388"/>
    <mergeCell ref="H389:I389"/>
    <mergeCell ref="J388:L388"/>
    <mergeCell ref="H394:I394"/>
    <mergeCell ref="D388:E388"/>
    <mergeCell ref="F388:G388"/>
    <mergeCell ref="B392:C392"/>
    <mergeCell ref="B393:C393"/>
    <mergeCell ref="D393:E393"/>
    <mergeCell ref="B394:C394"/>
    <mergeCell ref="P388:Q388"/>
    <mergeCell ref="R388:S388"/>
    <mergeCell ref="H388:I388"/>
    <mergeCell ref="R394:S394"/>
    <mergeCell ref="H391:I391"/>
    <mergeCell ref="R391:S391"/>
    <mergeCell ref="P391:Q391"/>
    <mergeCell ref="R393:S393"/>
    <mergeCell ref="M389:O389"/>
    <mergeCell ref="P389:Q389"/>
    <mergeCell ref="D394:E394"/>
    <mergeCell ref="F394:G394"/>
    <mergeCell ref="H397:I397"/>
    <mergeCell ref="R392:S392"/>
    <mergeCell ref="J393:L393"/>
    <mergeCell ref="M393:O393"/>
    <mergeCell ref="P393:Q393"/>
    <mergeCell ref="P392:Q392"/>
    <mergeCell ref="J392:L392"/>
    <mergeCell ref="M394:O394"/>
    <mergeCell ref="F393:G393"/>
    <mergeCell ref="H393:I393"/>
    <mergeCell ref="J398:L398"/>
    <mergeCell ref="J395:L395"/>
    <mergeCell ref="J396:L396"/>
    <mergeCell ref="H396:I396"/>
    <mergeCell ref="J397:L397"/>
    <mergeCell ref="H395:I395"/>
    <mergeCell ref="F395:G395"/>
    <mergeCell ref="F396:G396"/>
    <mergeCell ref="B402:C402"/>
    <mergeCell ref="A399:S399"/>
    <mergeCell ref="M402:O402"/>
    <mergeCell ref="H400:I400"/>
    <mergeCell ref="H401:I401"/>
    <mergeCell ref="R400:S400"/>
    <mergeCell ref="M400:O400"/>
    <mergeCell ref="J400:L400"/>
    <mergeCell ref="J401:L401"/>
    <mergeCell ref="D395:E395"/>
    <mergeCell ref="D397:E397"/>
    <mergeCell ref="D396:E396"/>
    <mergeCell ref="B395:C395"/>
    <mergeCell ref="B396:C396"/>
    <mergeCell ref="B397:C397"/>
    <mergeCell ref="F400:G400"/>
    <mergeCell ref="D400:E400"/>
    <mergeCell ref="F397:G397"/>
    <mergeCell ref="P394:Q394"/>
    <mergeCell ref="R402:S402"/>
    <mergeCell ref="D401:E401"/>
    <mergeCell ref="F401:G401"/>
    <mergeCell ref="R401:S401"/>
    <mergeCell ref="H402:I402"/>
    <mergeCell ref="P400:Q400"/>
    <mergeCell ref="R398:S398"/>
    <mergeCell ref="P397:Q397"/>
    <mergeCell ref="J394:L394"/>
    <mergeCell ref="R396:S396"/>
    <mergeCell ref="M396:O396"/>
    <mergeCell ref="R397:S397"/>
    <mergeCell ref="R395:S395"/>
    <mergeCell ref="M397:O397"/>
    <mergeCell ref="P395:Q395"/>
    <mergeCell ref="P396:Q396"/>
    <mergeCell ref="M395:O395"/>
    <mergeCell ref="P401:Q401"/>
    <mergeCell ref="M401:O401"/>
    <mergeCell ref="B398:C398"/>
    <mergeCell ref="D398:E398"/>
    <mergeCell ref="P398:Q398"/>
    <mergeCell ref="F398:G398"/>
    <mergeCell ref="H398:I398"/>
    <mergeCell ref="M398:O398"/>
    <mergeCell ref="B400:C400"/>
    <mergeCell ref="B401:C401"/>
    <mergeCell ref="M407:O407"/>
    <mergeCell ref="P407:Q407"/>
    <mergeCell ref="M408:O408"/>
    <mergeCell ref="P408:Q408"/>
    <mergeCell ref="R407:S407"/>
    <mergeCell ref="M406:O406"/>
    <mergeCell ref="P406:Q406"/>
    <mergeCell ref="F402:G402"/>
    <mergeCell ref="R403:S403"/>
    <mergeCell ref="M403:O403"/>
    <mergeCell ref="P403:Q403"/>
    <mergeCell ref="H403:I403"/>
    <mergeCell ref="J403:L403"/>
    <mergeCell ref="J402:L402"/>
    <mergeCell ref="P402:Q402"/>
    <mergeCell ref="R406:S406"/>
    <mergeCell ref="J405:L405"/>
    <mergeCell ref="M405:O405"/>
    <mergeCell ref="B405:C405"/>
    <mergeCell ref="D405:E405"/>
    <mergeCell ref="F405:G405"/>
    <mergeCell ref="H406:I406"/>
    <mergeCell ref="D402:E402"/>
    <mergeCell ref="A404:S404"/>
    <mergeCell ref="D403:E403"/>
    <mergeCell ref="F403:G403"/>
    <mergeCell ref="F406:G406"/>
    <mergeCell ref="B406:C406"/>
    <mergeCell ref="D406:E406"/>
    <mergeCell ref="R405:S405"/>
    <mergeCell ref="H405:I405"/>
    <mergeCell ref="P405:Q405"/>
    <mergeCell ref="D407:E407"/>
    <mergeCell ref="B409:C409"/>
    <mergeCell ref="B408:C408"/>
    <mergeCell ref="D408:E408"/>
    <mergeCell ref="B407:C407"/>
    <mergeCell ref="B403:C403"/>
    <mergeCell ref="F407:G407"/>
    <mergeCell ref="H407:I407"/>
    <mergeCell ref="H408:I408"/>
    <mergeCell ref="F408:G408"/>
    <mergeCell ref="R409:S409"/>
    <mergeCell ref="M409:O409"/>
    <mergeCell ref="P409:Q409"/>
    <mergeCell ref="F409:G409"/>
    <mergeCell ref="J409:L409"/>
    <mergeCell ref="R408:S408"/>
    <mergeCell ref="F414:G414"/>
    <mergeCell ref="D414:E414"/>
    <mergeCell ref="H409:I409"/>
    <mergeCell ref="B412:C412"/>
    <mergeCell ref="D412:E412"/>
    <mergeCell ref="F412:G412"/>
    <mergeCell ref="D411:E411"/>
    <mergeCell ref="B410:C410"/>
    <mergeCell ref="H411:I411"/>
    <mergeCell ref="D409:E409"/>
    <mergeCell ref="R412:S412"/>
    <mergeCell ref="P410:Q410"/>
    <mergeCell ref="P411:Q411"/>
    <mergeCell ref="P412:Q412"/>
    <mergeCell ref="M412:O412"/>
    <mergeCell ref="J411:L411"/>
    <mergeCell ref="J406:L406"/>
    <mergeCell ref="J408:L408"/>
    <mergeCell ref="J407:L407"/>
    <mergeCell ref="A413:S413"/>
    <mergeCell ref="R411:S411"/>
    <mergeCell ref="H412:I412"/>
    <mergeCell ref="M411:O411"/>
    <mergeCell ref="M410:O410"/>
    <mergeCell ref="J412:L412"/>
    <mergeCell ref="R410:S410"/>
    <mergeCell ref="R415:S415"/>
    <mergeCell ref="R414:S414"/>
    <mergeCell ref="R417:S417"/>
    <mergeCell ref="M419:O419"/>
    <mergeCell ref="P419:Q419"/>
    <mergeCell ref="P415:Q415"/>
    <mergeCell ref="P414:Q414"/>
    <mergeCell ref="R416:S416"/>
    <mergeCell ref="R419:S419"/>
    <mergeCell ref="P416:Q416"/>
    <mergeCell ref="D419:E419"/>
    <mergeCell ref="F417:G417"/>
    <mergeCell ref="M417:O417"/>
    <mergeCell ref="H414:I414"/>
    <mergeCell ref="H416:I416"/>
    <mergeCell ref="M414:O414"/>
    <mergeCell ref="H419:I419"/>
    <mergeCell ref="M416:O416"/>
    <mergeCell ref="M415:O415"/>
    <mergeCell ref="J414:L414"/>
    <mergeCell ref="F410:G410"/>
    <mergeCell ref="J410:L410"/>
    <mergeCell ref="B411:C411"/>
    <mergeCell ref="F411:G411"/>
    <mergeCell ref="H410:I410"/>
    <mergeCell ref="B415:C415"/>
    <mergeCell ref="D415:E415"/>
    <mergeCell ref="F415:G415"/>
    <mergeCell ref="D410:E410"/>
    <mergeCell ref="B414:C414"/>
    <mergeCell ref="B417:C417"/>
    <mergeCell ref="J416:L416"/>
    <mergeCell ref="J415:L415"/>
    <mergeCell ref="H415:I415"/>
    <mergeCell ref="D416:E416"/>
    <mergeCell ref="D417:E417"/>
    <mergeCell ref="H417:I417"/>
    <mergeCell ref="B416:C416"/>
    <mergeCell ref="F416:G416"/>
    <mergeCell ref="B420:C420"/>
    <mergeCell ref="F421:G421"/>
    <mergeCell ref="H421:I421"/>
    <mergeCell ref="B419:C419"/>
    <mergeCell ref="B421:C421"/>
    <mergeCell ref="F419:G419"/>
    <mergeCell ref="D420:E420"/>
    <mergeCell ref="F420:G420"/>
    <mergeCell ref="H420:I420"/>
    <mergeCell ref="D421:E421"/>
    <mergeCell ref="J421:L421"/>
    <mergeCell ref="J420:L420"/>
    <mergeCell ref="J419:L419"/>
    <mergeCell ref="J417:L417"/>
    <mergeCell ref="A418:S418"/>
    <mergeCell ref="P417:Q417"/>
    <mergeCell ref="R420:S420"/>
    <mergeCell ref="P421:Q421"/>
    <mergeCell ref="R421:S421"/>
    <mergeCell ref="P420:Q420"/>
    <mergeCell ref="M422:O422"/>
    <mergeCell ref="J425:L425"/>
    <mergeCell ref="M425:O425"/>
    <mergeCell ref="R423:S423"/>
    <mergeCell ref="B423:C423"/>
    <mergeCell ref="D423:E423"/>
    <mergeCell ref="F423:G423"/>
    <mergeCell ref="M423:O423"/>
    <mergeCell ref="B424:C424"/>
    <mergeCell ref="R429:S429"/>
    <mergeCell ref="P429:Q429"/>
    <mergeCell ref="M424:O424"/>
    <mergeCell ref="R425:S425"/>
    <mergeCell ref="M428:O428"/>
    <mergeCell ref="R424:S424"/>
    <mergeCell ref="P424:Q424"/>
    <mergeCell ref="R428:S428"/>
    <mergeCell ref="D422:E422"/>
    <mergeCell ref="F422:G422"/>
    <mergeCell ref="D424:E424"/>
    <mergeCell ref="F424:G424"/>
    <mergeCell ref="H422:I422"/>
    <mergeCell ref="J424:L424"/>
    <mergeCell ref="H423:I423"/>
    <mergeCell ref="J423:L423"/>
    <mergeCell ref="J422:L422"/>
    <mergeCell ref="H424:I424"/>
    <mergeCell ref="P423:Q423"/>
    <mergeCell ref="B429:C429"/>
    <mergeCell ref="D429:E429"/>
    <mergeCell ref="F429:G429"/>
    <mergeCell ref="P428:Q428"/>
    <mergeCell ref="B426:C426"/>
    <mergeCell ref="D428:E428"/>
    <mergeCell ref="H429:I429"/>
    <mergeCell ref="B430:C430"/>
    <mergeCell ref="P433:Q433"/>
    <mergeCell ref="P431:Q431"/>
    <mergeCell ref="D430:E430"/>
    <mergeCell ref="M430:O430"/>
    <mergeCell ref="M431:O431"/>
    <mergeCell ref="J431:L431"/>
    <mergeCell ref="M433:O433"/>
    <mergeCell ref="F430:G430"/>
    <mergeCell ref="H430:I430"/>
    <mergeCell ref="H425:I425"/>
    <mergeCell ref="J428:L428"/>
    <mergeCell ref="F428:G428"/>
    <mergeCell ref="B428:C428"/>
    <mergeCell ref="J426:L426"/>
    <mergeCell ref="D425:E425"/>
    <mergeCell ref="F425:G425"/>
    <mergeCell ref="D426:E426"/>
    <mergeCell ref="F426:G426"/>
    <mergeCell ref="H428:I428"/>
    <mergeCell ref="B438:C438"/>
    <mergeCell ref="B437:C437"/>
    <mergeCell ref="B436:C436"/>
    <mergeCell ref="D436:E436"/>
    <mergeCell ref="D438:E438"/>
    <mergeCell ref="D437:E437"/>
    <mergeCell ref="B435:C435"/>
    <mergeCell ref="D435:E435"/>
    <mergeCell ref="B422:C422"/>
    <mergeCell ref="H426:I426"/>
    <mergeCell ref="A427:S427"/>
    <mergeCell ref="M426:O426"/>
    <mergeCell ref="P426:Q426"/>
    <mergeCell ref="R426:S426"/>
    <mergeCell ref="B425:C425"/>
    <mergeCell ref="P425:Q425"/>
    <mergeCell ref="B431:C431"/>
    <mergeCell ref="B434:C434"/>
    <mergeCell ref="A432:S432"/>
    <mergeCell ref="D431:E431"/>
    <mergeCell ref="R431:S431"/>
    <mergeCell ref="B433:C433"/>
    <mergeCell ref="D433:E433"/>
    <mergeCell ref="D434:E434"/>
    <mergeCell ref="F431:G431"/>
    <mergeCell ref="F433:G433"/>
    <mergeCell ref="M429:O429"/>
    <mergeCell ref="H434:I434"/>
    <mergeCell ref="J429:L429"/>
    <mergeCell ref="H433:I433"/>
    <mergeCell ref="J433:L433"/>
    <mergeCell ref="H431:I431"/>
    <mergeCell ref="J430:L430"/>
    <mergeCell ref="P438:Q438"/>
    <mergeCell ref="P440:Q440"/>
    <mergeCell ref="H440:I440"/>
    <mergeCell ref="J440:L440"/>
    <mergeCell ref="H439:I439"/>
    <mergeCell ref="P430:Q430"/>
    <mergeCell ref="H438:I438"/>
    <mergeCell ref="J437:L437"/>
    <mergeCell ref="H437:I437"/>
    <mergeCell ref="H436:I436"/>
    <mergeCell ref="R430:S430"/>
    <mergeCell ref="R433:S433"/>
    <mergeCell ref="J439:L439"/>
    <mergeCell ref="M439:O439"/>
    <mergeCell ref="J434:L434"/>
    <mergeCell ref="M434:O434"/>
    <mergeCell ref="J436:L436"/>
    <mergeCell ref="P434:Q434"/>
    <mergeCell ref="R434:S434"/>
    <mergeCell ref="R439:S439"/>
    <mergeCell ref="R440:S440"/>
    <mergeCell ref="H435:I435"/>
    <mergeCell ref="M436:O436"/>
    <mergeCell ref="P436:Q436"/>
    <mergeCell ref="M440:O440"/>
    <mergeCell ref="R435:S435"/>
    <mergeCell ref="M435:O435"/>
    <mergeCell ref="J435:L435"/>
    <mergeCell ref="M437:O437"/>
    <mergeCell ref="R436:S436"/>
    <mergeCell ref="M442:O442"/>
    <mergeCell ref="D442:E442"/>
    <mergeCell ref="F434:G434"/>
    <mergeCell ref="J442:L442"/>
    <mergeCell ref="F442:G442"/>
    <mergeCell ref="H442:I442"/>
    <mergeCell ref="F438:G438"/>
    <mergeCell ref="M438:O438"/>
    <mergeCell ref="F435:G435"/>
    <mergeCell ref="F436:G436"/>
    <mergeCell ref="R444:S444"/>
    <mergeCell ref="J444:L444"/>
    <mergeCell ref="J443:L443"/>
    <mergeCell ref="M443:O443"/>
    <mergeCell ref="P444:Q444"/>
    <mergeCell ref="M444:O444"/>
    <mergeCell ref="R443:S443"/>
    <mergeCell ref="B449:C449"/>
    <mergeCell ref="J445:L445"/>
    <mergeCell ref="D449:E449"/>
    <mergeCell ref="D439:E439"/>
    <mergeCell ref="F439:G439"/>
    <mergeCell ref="B439:C439"/>
    <mergeCell ref="B440:C440"/>
    <mergeCell ref="D440:E440"/>
    <mergeCell ref="F440:G440"/>
    <mergeCell ref="B442:C442"/>
    <mergeCell ref="B444:C444"/>
    <mergeCell ref="F443:G443"/>
    <mergeCell ref="D444:E444"/>
    <mergeCell ref="F444:G444"/>
    <mergeCell ref="B443:C443"/>
    <mergeCell ref="D443:E443"/>
    <mergeCell ref="F437:G437"/>
    <mergeCell ref="J438:L438"/>
    <mergeCell ref="D448:E448"/>
    <mergeCell ref="F448:G448"/>
    <mergeCell ref="H448:I448"/>
    <mergeCell ref="J449:L449"/>
    <mergeCell ref="J448:L448"/>
    <mergeCell ref="F449:G449"/>
    <mergeCell ref="H449:I449"/>
    <mergeCell ref="A441:S441"/>
    <mergeCell ref="R447:S447"/>
    <mergeCell ref="R448:S448"/>
    <mergeCell ref="M448:O448"/>
    <mergeCell ref="M449:O449"/>
    <mergeCell ref="M447:O447"/>
    <mergeCell ref="P449:Q449"/>
    <mergeCell ref="R449:S449"/>
    <mergeCell ref="P447:Q447"/>
    <mergeCell ref="P442:Q442"/>
    <mergeCell ref="D447:E447"/>
    <mergeCell ref="M445:O445"/>
    <mergeCell ref="R445:S445"/>
    <mergeCell ref="H444:I444"/>
    <mergeCell ref="H443:I443"/>
    <mergeCell ref="H445:I445"/>
    <mergeCell ref="P445:Q445"/>
    <mergeCell ref="A446:S446"/>
    <mergeCell ref="B447:C447"/>
    <mergeCell ref="B445:C445"/>
    <mergeCell ref="R450:S450"/>
    <mergeCell ref="M450:O450"/>
    <mergeCell ref="D450:E450"/>
    <mergeCell ref="F450:G450"/>
    <mergeCell ref="H450:I450"/>
    <mergeCell ref="P450:Q450"/>
    <mergeCell ref="D445:E445"/>
    <mergeCell ref="F445:G445"/>
    <mergeCell ref="P448:Q448"/>
    <mergeCell ref="J447:L447"/>
    <mergeCell ref="F447:G447"/>
    <mergeCell ref="H447:I447"/>
    <mergeCell ref="B448:C448"/>
    <mergeCell ref="B452:C452"/>
    <mergeCell ref="J452:L452"/>
    <mergeCell ref="B450:C450"/>
    <mergeCell ref="B451:C451"/>
    <mergeCell ref="D451:E451"/>
    <mergeCell ref="H451:I451"/>
    <mergeCell ref="J451:L451"/>
    <mergeCell ref="J450:L450"/>
    <mergeCell ref="F451:G451"/>
    <mergeCell ref="D452:E452"/>
    <mergeCell ref="B456:C456"/>
    <mergeCell ref="F454:G454"/>
    <mergeCell ref="H454:I454"/>
    <mergeCell ref="D453:E453"/>
    <mergeCell ref="H456:I456"/>
    <mergeCell ref="H453:I453"/>
    <mergeCell ref="B453:C453"/>
    <mergeCell ref="D456:E456"/>
    <mergeCell ref="P457:Q457"/>
    <mergeCell ref="R456:S456"/>
    <mergeCell ref="R453:S453"/>
    <mergeCell ref="R452:S452"/>
    <mergeCell ref="R457:S457"/>
    <mergeCell ref="P452:Q452"/>
    <mergeCell ref="P454:Q454"/>
    <mergeCell ref="R454:S454"/>
    <mergeCell ref="P453:Q453"/>
    <mergeCell ref="R451:S451"/>
    <mergeCell ref="J453:L453"/>
    <mergeCell ref="H452:I452"/>
    <mergeCell ref="F452:G452"/>
    <mergeCell ref="F453:G453"/>
    <mergeCell ref="P451:Q451"/>
    <mergeCell ref="M453:O453"/>
    <mergeCell ref="M452:O452"/>
    <mergeCell ref="M451:O451"/>
    <mergeCell ref="B463:C463"/>
    <mergeCell ref="M454:O454"/>
    <mergeCell ref="J456:L456"/>
    <mergeCell ref="M456:O456"/>
    <mergeCell ref="J454:L454"/>
    <mergeCell ref="A455:S455"/>
    <mergeCell ref="B454:C454"/>
    <mergeCell ref="D454:E454"/>
    <mergeCell ref="P456:Q456"/>
    <mergeCell ref="F456:G456"/>
    <mergeCell ref="P461:Q461"/>
    <mergeCell ref="H462:I462"/>
    <mergeCell ref="F458:G458"/>
    <mergeCell ref="B464:C464"/>
    <mergeCell ref="D464:E464"/>
    <mergeCell ref="F462:G462"/>
    <mergeCell ref="D461:E461"/>
    <mergeCell ref="B462:C462"/>
    <mergeCell ref="D462:E462"/>
    <mergeCell ref="B461:C461"/>
    <mergeCell ref="M462:O462"/>
    <mergeCell ref="M461:O461"/>
    <mergeCell ref="M459:O459"/>
    <mergeCell ref="M458:O458"/>
    <mergeCell ref="A460:S460"/>
    <mergeCell ref="D458:E458"/>
    <mergeCell ref="B459:C459"/>
    <mergeCell ref="H458:I458"/>
    <mergeCell ref="F459:G459"/>
    <mergeCell ref="R461:S461"/>
    <mergeCell ref="M457:O457"/>
    <mergeCell ref="J458:L458"/>
    <mergeCell ref="J459:L459"/>
    <mergeCell ref="F457:G457"/>
    <mergeCell ref="P458:Q458"/>
    <mergeCell ref="R458:S458"/>
    <mergeCell ref="P459:Q459"/>
    <mergeCell ref="F467:G467"/>
    <mergeCell ref="R465:S465"/>
    <mergeCell ref="J462:L462"/>
    <mergeCell ref="R462:S462"/>
    <mergeCell ref="P463:Q463"/>
    <mergeCell ref="P462:Q462"/>
    <mergeCell ref="R463:S463"/>
    <mergeCell ref="M465:O465"/>
    <mergeCell ref="P465:Q465"/>
    <mergeCell ref="M463:O463"/>
    <mergeCell ref="D468:E468"/>
    <mergeCell ref="J463:L463"/>
    <mergeCell ref="J464:L464"/>
    <mergeCell ref="D467:E467"/>
    <mergeCell ref="H463:I463"/>
    <mergeCell ref="D463:E463"/>
    <mergeCell ref="F466:G466"/>
    <mergeCell ref="F468:G468"/>
    <mergeCell ref="F464:G464"/>
    <mergeCell ref="H464:I464"/>
    <mergeCell ref="M468:O468"/>
    <mergeCell ref="H467:I467"/>
    <mergeCell ref="J467:L467"/>
    <mergeCell ref="H466:I466"/>
    <mergeCell ref="M466:O466"/>
    <mergeCell ref="J466:L466"/>
    <mergeCell ref="B457:C457"/>
    <mergeCell ref="D457:E457"/>
    <mergeCell ref="H457:I457"/>
    <mergeCell ref="J461:L461"/>
    <mergeCell ref="H461:I461"/>
    <mergeCell ref="H459:I459"/>
    <mergeCell ref="D459:E459"/>
    <mergeCell ref="B458:C458"/>
    <mergeCell ref="F461:G461"/>
    <mergeCell ref="J457:L457"/>
    <mergeCell ref="D465:E465"/>
    <mergeCell ref="H465:I465"/>
    <mergeCell ref="F465:G465"/>
    <mergeCell ref="R470:S470"/>
    <mergeCell ref="P466:Q466"/>
    <mergeCell ref="R468:S468"/>
    <mergeCell ref="R467:S467"/>
    <mergeCell ref="P467:Q467"/>
    <mergeCell ref="R466:S466"/>
    <mergeCell ref="D466:E466"/>
    <mergeCell ref="F463:G463"/>
    <mergeCell ref="M464:O464"/>
    <mergeCell ref="P464:Q464"/>
    <mergeCell ref="R464:S464"/>
    <mergeCell ref="B467:C467"/>
    <mergeCell ref="H468:I468"/>
    <mergeCell ref="J468:L468"/>
    <mergeCell ref="B468:C468"/>
    <mergeCell ref="M467:O467"/>
    <mergeCell ref="B466:C466"/>
    <mergeCell ref="B465:C465"/>
    <mergeCell ref="J465:L465"/>
    <mergeCell ref="D471:E471"/>
    <mergeCell ref="F470:G470"/>
    <mergeCell ref="A469:S469"/>
    <mergeCell ref="P468:Q468"/>
    <mergeCell ref="P470:Q470"/>
    <mergeCell ref="D470:E470"/>
    <mergeCell ref="J470:L470"/>
    <mergeCell ref="B470:C470"/>
    <mergeCell ref="R471:S471"/>
    <mergeCell ref="M470:O470"/>
    <mergeCell ref="B472:C472"/>
    <mergeCell ref="M472:O472"/>
    <mergeCell ref="J471:L471"/>
    <mergeCell ref="M471:O471"/>
    <mergeCell ref="D472:E472"/>
    <mergeCell ref="F472:G472"/>
    <mergeCell ref="H471:I471"/>
    <mergeCell ref="H472:I472"/>
    <mergeCell ref="F471:G471"/>
    <mergeCell ref="B471:C471"/>
    <mergeCell ref="R476:S476"/>
    <mergeCell ref="J477:L477"/>
    <mergeCell ref="M477:O477"/>
    <mergeCell ref="H470:I470"/>
    <mergeCell ref="P472:Q472"/>
    <mergeCell ref="P471:Q471"/>
    <mergeCell ref="R472:S472"/>
    <mergeCell ref="J472:L472"/>
    <mergeCell ref="P476:Q476"/>
    <mergeCell ref="M476:O476"/>
    <mergeCell ref="B473:C473"/>
    <mergeCell ref="D473:E473"/>
    <mergeCell ref="F473:G473"/>
    <mergeCell ref="M473:O473"/>
    <mergeCell ref="H473:I473"/>
    <mergeCell ref="J473:L473"/>
    <mergeCell ref="J475:L475"/>
    <mergeCell ref="B477:C477"/>
    <mergeCell ref="B476:C476"/>
    <mergeCell ref="D476:E476"/>
    <mergeCell ref="F476:G476"/>
    <mergeCell ref="H476:I476"/>
    <mergeCell ref="D477:E477"/>
    <mergeCell ref="F477:G477"/>
    <mergeCell ref="H477:I477"/>
    <mergeCell ref="R475:S475"/>
    <mergeCell ref="M475:O475"/>
    <mergeCell ref="P473:Q473"/>
    <mergeCell ref="R473:S473"/>
    <mergeCell ref="A474:S474"/>
    <mergeCell ref="B475:C475"/>
    <mergeCell ref="D475:E475"/>
    <mergeCell ref="F475:G475"/>
    <mergeCell ref="H475:I475"/>
    <mergeCell ref="P475:Q475"/>
    <mergeCell ref="F481:G481"/>
    <mergeCell ref="B482:C482"/>
    <mergeCell ref="D482:E482"/>
    <mergeCell ref="F482:G482"/>
    <mergeCell ref="B481:C481"/>
    <mergeCell ref="D478:E478"/>
    <mergeCell ref="F478:G478"/>
    <mergeCell ref="D479:E479"/>
    <mergeCell ref="F485:G485"/>
    <mergeCell ref="H478:I478"/>
    <mergeCell ref="F479:G479"/>
    <mergeCell ref="B479:C479"/>
    <mergeCell ref="M487:O487"/>
    <mergeCell ref="M480:O480"/>
    <mergeCell ref="H486:I486"/>
    <mergeCell ref="F480:G480"/>
    <mergeCell ref="H481:I481"/>
    <mergeCell ref="H482:I482"/>
    <mergeCell ref="R477:S477"/>
    <mergeCell ref="M486:O486"/>
    <mergeCell ref="M485:O485"/>
    <mergeCell ref="P477:Q477"/>
    <mergeCell ref="F484:G484"/>
    <mergeCell ref="H484:I484"/>
    <mergeCell ref="J484:L484"/>
    <mergeCell ref="P482:Q482"/>
    <mergeCell ref="R482:S482"/>
    <mergeCell ref="R486:S486"/>
    <mergeCell ref="M478:O478"/>
    <mergeCell ref="P487:Q487"/>
    <mergeCell ref="P485:Q485"/>
    <mergeCell ref="M484:O484"/>
    <mergeCell ref="M481:O481"/>
    <mergeCell ref="M479:O479"/>
    <mergeCell ref="P486:Q486"/>
    <mergeCell ref="B492:C492"/>
    <mergeCell ref="D492:E492"/>
    <mergeCell ref="B491:C491"/>
    <mergeCell ref="B480:C480"/>
    <mergeCell ref="B487:C487"/>
    <mergeCell ref="D485:E485"/>
    <mergeCell ref="B485:C485"/>
    <mergeCell ref="D487:E487"/>
    <mergeCell ref="D480:E480"/>
    <mergeCell ref="D491:E491"/>
    <mergeCell ref="B490:C490"/>
    <mergeCell ref="D490:E490"/>
    <mergeCell ref="D486:E486"/>
    <mergeCell ref="D484:E484"/>
    <mergeCell ref="D481:E481"/>
    <mergeCell ref="B484:C484"/>
    <mergeCell ref="J476:L476"/>
    <mergeCell ref="J485:L485"/>
    <mergeCell ref="J482:L482"/>
    <mergeCell ref="J478:L478"/>
    <mergeCell ref="J487:L487"/>
    <mergeCell ref="J479:L479"/>
    <mergeCell ref="J480:L480"/>
    <mergeCell ref="J486:L486"/>
    <mergeCell ref="A483:S483"/>
    <mergeCell ref="R487:S487"/>
    <mergeCell ref="F487:G487"/>
    <mergeCell ref="F486:G486"/>
    <mergeCell ref="B478:C478"/>
    <mergeCell ref="H489:I489"/>
    <mergeCell ref="A488:S488"/>
    <mergeCell ref="B489:C489"/>
    <mergeCell ref="D489:E489"/>
    <mergeCell ref="P489:Q489"/>
    <mergeCell ref="J489:L489"/>
    <mergeCell ref="P478:Q478"/>
    <mergeCell ref="P481:Q481"/>
    <mergeCell ref="R479:S479"/>
    <mergeCell ref="P480:Q480"/>
    <mergeCell ref="R484:S484"/>
    <mergeCell ref="M482:O482"/>
    <mergeCell ref="P479:Q479"/>
    <mergeCell ref="P484:Q484"/>
    <mergeCell ref="R480:S480"/>
    <mergeCell ref="R481:S481"/>
    <mergeCell ref="H495:I495"/>
    <mergeCell ref="H490:I490"/>
    <mergeCell ref="F492:G492"/>
    <mergeCell ref="F490:G490"/>
    <mergeCell ref="H494:I494"/>
    <mergeCell ref="R489:S489"/>
    <mergeCell ref="F489:G489"/>
    <mergeCell ref="H491:I491"/>
    <mergeCell ref="F491:G491"/>
    <mergeCell ref="B494:C494"/>
    <mergeCell ref="B493:C493"/>
    <mergeCell ref="J481:L481"/>
    <mergeCell ref="H479:I479"/>
    <mergeCell ref="H485:I485"/>
    <mergeCell ref="H480:I480"/>
    <mergeCell ref="F494:G494"/>
    <mergeCell ref="B486:C486"/>
    <mergeCell ref="H487:I487"/>
    <mergeCell ref="B495:C495"/>
    <mergeCell ref="D495:E495"/>
    <mergeCell ref="D494:E494"/>
    <mergeCell ref="D493:E493"/>
    <mergeCell ref="J490:L490"/>
    <mergeCell ref="H496:I496"/>
    <mergeCell ref="J496:L496"/>
    <mergeCell ref="H492:I492"/>
    <mergeCell ref="F493:G493"/>
    <mergeCell ref="H493:I493"/>
    <mergeCell ref="P491:Q491"/>
    <mergeCell ref="J492:L492"/>
    <mergeCell ref="M492:O492"/>
    <mergeCell ref="P492:Q492"/>
    <mergeCell ref="J494:L494"/>
    <mergeCell ref="J493:L493"/>
    <mergeCell ref="J491:L491"/>
    <mergeCell ref="M491:O491"/>
    <mergeCell ref="M493:O493"/>
    <mergeCell ref="R495:S495"/>
    <mergeCell ref="P498:Q498"/>
    <mergeCell ref="P499:Q499"/>
    <mergeCell ref="P496:Q496"/>
    <mergeCell ref="P495:Q495"/>
    <mergeCell ref="J498:L498"/>
    <mergeCell ref="R496:S496"/>
    <mergeCell ref="M490:O490"/>
    <mergeCell ref="R491:S491"/>
    <mergeCell ref="P490:Q490"/>
    <mergeCell ref="R494:S494"/>
    <mergeCell ref="R490:S490"/>
    <mergeCell ref="R492:S492"/>
    <mergeCell ref="R493:S493"/>
    <mergeCell ref="M494:O494"/>
    <mergeCell ref="P493:Q493"/>
    <mergeCell ref="P494:Q494"/>
    <mergeCell ref="H499:I499"/>
    <mergeCell ref="B498:C498"/>
    <mergeCell ref="F499:G499"/>
    <mergeCell ref="H498:I498"/>
    <mergeCell ref="D499:E499"/>
    <mergeCell ref="D498:E498"/>
    <mergeCell ref="B499:C499"/>
    <mergeCell ref="M498:O498"/>
    <mergeCell ref="M495:O495"/>
    <mergeCell ref="B496:C496"/>
    <mergeCell ref="D496:E496"/>
    <mergeCell ref="F496:G496"/>
    <mergeCell ref="A497:S497"/>
    <mergeCell ref="M496:O496"/>
    <mergeCell ref="F498:G498"/>
    <mergeCell ref="J495:L495"/>
    <mergeCell ref="F495:G495"/>
    <mergeCell ref="H504:I504"/>
    <mergeCell ref="H505:I505"/>
    <mergeCell ref="B503:C503"/>
    <mergeCell ref="B504:C504"/>
    <mergeCell ref="D504:E504"/>
    <mergeCell ref="F504:G504"/>
    <mergeCell ref="D503:E503"/>
    <mergeCell ref="F503:G503"/>
    <mergeCell ref="H503:I503"/>
    <mergeCell ref="F500:G500"/>
    <mergeCell ref="H501:I501"/>
    <mergeCell ref="F501:G501"/>
    <mergeCell ref="H500:I500"/>
    <mergeCell ref="B500:C500"/>
    <mergeCell ref="B501:C501"/>
    <mergeCell ref="D501:E501"/>
    <mergeCell ref="B506:C506"/>
    <mergeCell ref="D506:E506"/>
    <mergeCell ref="B505:C505"/>
    <mergeCell ref="D505:E505"/>
    <mergeCell ref="D500:E500"/>
    <mergeCell ref="A502:S502"/>
    <mergeCell ref="R501:S501"/>
    <mergeCell ref="J500:L500"/>
    <mergeCell ref="J501:L501"/>
    <mergeCell ref="J503:L503"/>
    <mergeCell ref="P501:Q501"/>
    <mergeCell ref="M501:O501"/>
    <mergeCell ref="P500:Q500"/>
    <mergeCell ref="M500:O500"/>
    <mergeCell ref="M503:O503"/>
    <mergeCell ref="J504:L504"/>
    <mergeCell ref="M504:O504"/>
    <mergeCell ref="J505:L505"/>
    <mergeCell ref="J499:L499"/>
    <mergeCell ref="M499:O499"/>
    <mergeCell ref="R509:S509"/>
    <mergeCell ref="R508:S508"/>
    <mergeCell ref="R505:S505"/>
    <mergeCell ref="J506:L506"/>
    <mergeCell ref="R506:S506"/>
    <mergeCell ref="R507:S507"/>
    <mergeCell ref="P507:Q507"/>
    <mergeCell ref="B510:C510"/>
    <mergeCell ref="D510:E510"/>
    <mergeCell ref="B513:C513"/>
    <mergeCell ref="F505:G505"/>
    <mergeCell ref="M507:O507"/>
    <mergeCell ref="B507:C507"/>
    <mergeCell ref="D507:E507"/>
    <mergeCell ref="B508:C508"/>
    <mergeCell ref="B509:C509"/>
    <mergeCell ref="J507:L507"/>
    <mergeCell ref="H510:I510"/>
    <mergeCell ref="D513:E513"/>
    <mergeCell ref="H507:I507"/>
    <mergeCell ref="H506:I506"/>
    <mergeCell ref="F507:G507"/>
    <mergeCell ref="D509:E509"/>
    <mergeCell ref="D508:E508"/>
    <mergeCell ref="F506:G506"/>
    <mergeCell ref="F508:G508"/>
    <mergeCell ref="H508:I508"/>
    <mergeCell ref="F509:G509"/>
    <mergeCell ref="H509:I509"/>
    <mergeCell ref="M513:O513"/>
    <mergeCell ref="J513:L513"/>
    <mergeCell ref="F513:G513"/>
    <mergeCell ref="M509:O509"/>
    <mergeCell ref="M508:O508"/>
    <mergeCell ref="F510:G510"/>
    <mergeCell ref="P515:Q515"/>
    <mergeCell ref="P514:Q514"/>
    <mergeCell ref="J515:L515"/>
    <mergeCell ref="R514:S514"/>
    <mergeCell ref="J514:L514"/>
    <mergeCell ref="P508:Q508"/>
    <mergeCell ref="J509:L509"/>
    <mergeCell ref="J510:L510"/>
    <mergeCell ref="J508:L508"/>
    <mergeCell ref="J512:L512"/>
    <mergeCell ref="F515:G515"/>
    <mergeCell ref="M514:O514"/>
    <mergeCell ref="H514:I514"/>
    <mergeCell ref="F514:G514"/>
    <mergeCell ref="H515:I515"/>
    <mergeCell ref="H513:I513"/>
    <mergeCell ref="B532:C532"/>
    <mergeCell ref="B535:C535"/>
    <mergeCell ref="D535:E535"/>
    <mergeCell ref="P517:Q517"/>
    <mergeCell ref="F517:G517"/>
    <mergeCell ref="D512:E512"/>
    <mergeCell ref="H512:I512"/>
    <mergeCell ref="M512:O512"/>
    <mergeCell ref="F512:G512"/>
    <mergeCell ref="P512:Q512"/>
    <mergeCell ref="B515:C515"/>
    <mergeCell ref="B518:C518"/>
    <mergeCell ref="D514:E514"/>
    <mergeCell ref="B536:C536"/>
    <mergeCell ref="D536:E536"/>
    <mergeCell ref="D522:E522"/>
    <mergeCell ref="B520:C520"/>
    <mergeCell ref="B522:C522"/>
    <mergeCell ref="B521:C521"/>
    <mergeCell ref="B534:C534"/>
    <mergeCell ref="B533:C533"/>
    <mergeCell ref="D534:E534"/>
    <mergeCell ref="D532:E532"/>
    <mergeCell ref="D533:E533"/>
    <mergeCell ref="B514:C514"/>
    <mergeCell ref="D515:E515"/>
    <mergeCell ref="B519:C519"/>
    <mergeCell ref="B517:C517"/>
    <mergeCell ref="D517:E517"/>
    <mergeCell ref="D519:E519"/>
    <mergeCell ref="B523:C523"/>
    <mergeCell ref="D526:E526"/>
    <mergeCell ref="B528:C528"/>
    <mergeCell ref="D529:E529"/>
    <mergeCell ref="B526:C526"/>
    <mergeCell ref="B527:C527"/>
    <mergeCell ref="B529:C529"/>
    <mergeCell ref="B524:C524"/>
    <mergeCell ref="D524:E524"/>
    <mergeCell ref="J527:L527"/>
    <mergeCell ref="M527:O527"/>
    <mergeCell ref="F527:G527"/>
    <mergeCell ref="H524:I524"/>
    <mergeCell ref="F524:G524"/>
    <mergeCell ref="F526:G526"/>
    <mergeCell ref="J521:L521"/>
    <mergeCell ref="F521:G521"/>
    <mergeCell ref="J524:L524"/>
    <mergeCell ref="H526:I526"/>
    <mergeCell ref="H521:I521"/>
    <mergeCell ref="H527:I527"/>
    <mergeCell ref="J526:L526"/>
    <mergeCell ref="F522:G522"/>
    <mergeCell ref="F531:G531"/>
    <mergeCell ref="H531:I531"/>
    <mergeCell ref="J531:L531"/>
    <mergeCell ref="H529:I529"/>
    <mergeCell ref="F529:G529"/>
    <mergeCell ref="A530:S530"/>
    <mergeCell ref="P531:Q531"/>
    <mergeCell ref="D531:E531"/>
    <mergeCell ref="B531:C531"/>
    <mergeCell ref="H535:I535"/>
    <mergeCell ref="J528:L528"/>
    <mergeCell ref="H528:I528"/>
    <mergeCell ref="F534:G534"/>
    <mergeCell ref="J534:L534"/>
    <mergeCell ref="H534:I534"/>
    <mergeCell ref="F532:G532"/>
    <mergeCell ref="H532:I532"/>
    <mergeCell ref="H533:I533"/>
    <mergeCell ref="J532:L532"/>
    <mergeCell ref="M537:O537"/>
    <mergeCell ref="H537:I537"/>
    <mergeCell ref="F533:G533"/>
    <mergeCell ref="J533:L533"/>
    <mergeCell ref="F535:G535"/>
    <mergeCell ref="J537:L537"/>
    <mergeCell ref="F536:G536"/>
    <mergeCell ref="M535:O535"/>
    <mergeCell ref="M534:O534"/>
    <mergeCell ref="J535:L535"/>
    <mergeCell ref="B537:C537"/>
    <mergeCell ref="D541:E541"/>
    <mergeCell ref="B538:C538"/>
    <mergeCell ref="F540:G540"/>
    <mergeCell ref="B540:C540"/>
    <mergeCell ref="B541:C541"/>
    <mergeCell ref="D540:E540"/>
    <mergeCell ref="D538:E538"/>
    <mergeCell ref="D537:E537"/>
    <mergeCell ref="B542:C542"/>
    <mergeCell ref="M538:O538"/>
    <mergeCell ref="J540:L540"/>
    <mergeCell ref="D542:E542"/>
    <mergeCell ref="F541:G541"/>
    <mergeCell ref="H542:I542"/>
    <mergeCell ref="M542:O542"/>
    <mergeCell ref="J538:L538"/>
    <mergeCell ref="H541:I541"/>
    <mergeCell ref="J541:L541"/>
    <mergeCell ref="H550:I550"/>
    <mergeCell ref="J552:L552"/>
    <mergeCell ref="B550:C550"/>
    <mergeCell ref="J542:L542"/>
    <mergeCell ref="H540:I540"/>
    <mergeCell ref="M540:O540"/>
    <mergeCell ref="B546:C546"/>
    <mergeCell ref="D545:E545"/>
    <mergeCell ref="H543:I543"/>
    <mergeCell ref="F545:G545"/>
    <mergeCell ref="P549:Q549"/>
    <mergeCell ref="P547:Q547"/>
    <mergeCell ref="M548:O548"/>
    <mergeCell ref="M552:O552"/>
    <mergeCell ref="D548:E548"/>
    <mergeCell ref="D547:E547"/>
    <mergeCell ref="F548:G548"/>
    <mergeCell ref="J548:L548"/>
    <mergeCell ref="H548:I548"/>
    <mergeCell ref="J549:L549"/>
    <mergeCell ref="J546:L546"/>
    <mergeCell ref="J545:L545"/>
    <mergeCell ref="H546:I546"/>
    <mergeCell ref="M546:O546"/>
    <mergeCell ref="P546:Q546"/>
    <mergeCell ref="M547:O547"/>
    <mergeCell ref="J547:L547"/>
    <mergeCell ref="H547:I547"/>
    <mergeCell ref="B545:C545"/>
    <mergeCell ref="B543:C543"/>
    <mergeCell ref="M545:O545"/>
    <mergeCell ref="H545:I545"/>
    <mergeCell ref="A544:S544"/>
    <mergeCell ref="J543:L543"/>
    <mergeCell ref="R545:S545"/>
    <mergeCell ref="M543:O543"/>
    <mergeCell ref="F543:G543"/>
    <mergeCell ref="J565:L565"/>
    <mergeCell ref="D557:E557"/>
    <mergeCell ref="D552:E552"/>
    <mergeCell ref="D549:E549"/>
    <mergeCell ref="D560:E560"/>
    <mergeCell ref="D556:E556"/>
    <mergeCell ref="J550:L550"/>
    <mergeCell ref="H552:I552"/>
    <mergeCell ref="H549:I549"/>
    <mergeCell ref="F549:G549"/>
    <mergeCell ref="J560:L560"/>
    <mergeCell ref="H559:I559"/>
    <mergeCell ref="M564:O564"/>
    <mergeCell ref="J562:L562"/>
    <mergeCell ref="J561:L561"/>
    <mergeCell ref="H562:I562"/>
    <mergeCell ref="M563:O563"/>
    <mergeCell ref="M560:O560"/>
    <mergeCell ref="M562:O562"/>
    <mergeCell ref="M561:O561"/>
    <mergeCell ref="B557:C557"/>
    <mergeCell ref="D543:E543"/>
    <mergeCell ref="F557:G557"/>
    <mergeCell ref="D555:E555"/>
    <mergeCell ref="F555:G555"/>
    <mergeCell ref="B554:C554"/>
    <mergeCell ref="F550:G550"/>
    <mergeCell ref="B551:C551"/>
    <mergeCell ref="B547:C547"/>
    <mergeCell ref="B556:C556"/>
    <mergeCell ref="D546:E546"/>
    <mergeCell ref="D559:E559"/>
    <mergeCell ref="F554:G554"/>
    <mergeCell ref="B559:C559"/>
    <mergeCell ref="F546:G546"/>
    <mergeCell ref="B552:C552"/>
    <mergeCell ref="B555:C555"/>
    <mergeCell ref="B549:C549"/>
    <mergeCell ref="B548:C548"/>
    <mergeCell ref="F551:G551"/>
    <mergeCell ref="R560:S560"/>
    <mergeCell ref="J551:L551"/>
    <mergeCell ref="D550:E550"/>
    <mergeCell ref="F552:G552"/>
    <mergeCell ref="J555:L555"/>
    <mergeCell ref="D551:E551"/>
    <mergeCell ref="A553:S553"/>
    <mergeCell ref="D554:E554"/>
    <mergeCell ref="P552:Q552"/>
    <mergeCell ref="H554:I554"/>
    <mergeCell ref="J554:L554"/>
    <mergeCell ref="J556:L556"/>
    <mergeCell ref="M557:O557"/>
    <mergeCell ref="M554:O554"/>
    <mergeCell ref="J557:L557"/>
    <mergeCell ref="F556:G556"/>
    <mergeCell ref="F559:G559"/>
    <mergeCell ref="F560:G560"/>
    <mergeCell ref="H551:I551"/>
    <mergeCell ref="H555:I555"/>
    <mergeCell ref="H556:I556"/>
    <mergeCell ref="H557:I557"/>
    <mergeCell ref="H560:I560"/>
    <mergeCell ref="F547:G547"/>
    <mergeCell ref="H536:I536"/>
    <mergeCell ref="F542:G542"/>
    <mergeCell ref="F538:G538"/>
    <mergeCell ref="F537:G537"/>
    <mergeCell ref="H538:I538"/>
    <mergeCell ref="A539:S539"/>
    <mergeCell ref="J536:L536"/>
    <mergeCell ref="M536:O536"/>
    <mergeCell ref="R541:S541"/>
    <mergeCell ref="AK401:AL401"/>
    <mergeCell ref="U402:V402"/>
    <mergeCell ref="W402:X402"/>
    <mergeCell ref="Y402:Z402"/>
    <mergeCell ref="AA402:AB402"/>
    <mergeCell ref="AA401:AB401"/>
    <mergeCell ref="AK402:AL402"/>
    <mergeCell ref="W401:X401"/>
    <mergeCell ref="AI401:AJ401"/>
    <mergeCell ref="Y401:Z401"/>
    <mergeCell ref="M532:O532"/>
    <mergeCell ref="M533:O533"/>
    <mergeCell ref="R533:S533"/>
    <mergeCell ref="R526:S526"/>
    <mergeCell ref="R522:S522"/>
    <mergeCell ref="R523:S523"/>
    <mergeCell ref="R529:S529"/>
    <mergeCell ref="M526:O526"/>
    <mergeCell ref="P506:Q506"/>
    <mergeCell ref="P505:Q505"/>
    <mergeCell ref="R513:S513"/>
    <mergeCell ref="M515:O515"/>
    <mergeCell ref="M519:O519"/>
    <mergeCell ref="M506:O506"/>
    <mergeCell ref="P510:Q510"/>
    <mergeCell ref="M510:O510"/>
    <mergeCell ref="P518:Q518"/>
    <mergeCell ref="P513:Q513"/>
    <mergeCell ref="R535:S535"/>
    <mergeCell ref="R520:S520"/>
    <mergeCell ref="R527:S527"/>
    <mergeCell ref="R437:S437"/>
    <mergeCell ref="R438:S438"/>
    <mergeCell ref="R519:S519"/>
    <mergeCell ref="R515:S515"/>
    <mergeCell ref="R499:S499"/>
    <mergeCell ref="R478:S478"/>
    <mergeCell ref="R485:S485"/>
    <mergeCell ref="P533:Q533"/>
    <mergeCell ref="P526:Q526"/>
    <mergeCell ref="P532:Q532"/>
    <mergeCell ref="P527:Q527"/>
    <mergeCell ref="AI402:AJ402"/>
    <mergeCell ref="R510:S510"/>
    <mergeCell ref="R531:S531"/>
    <mergeCell ref="P504:Q504"/>
    <mergeCell ref="P503:Q503"/>
    <mergeCell ref="P509:Q509"/>
    <mergeCell ref="M505:O505"/>
    <mergeCell ref="AF401:AH401"/>
    <mergeCell ref="AC401:AE401"/>
    <mergeCell ref="AC402:AE402"/>
    <mergeCell ref="AF402:AH402"/>
    <mergeCell ref="R442:S442"/>
    <mergeCell ref="P437:Q437"/>
    <mergeCell ref="P439:Q439"/>
    <mergeCell ref="Y403:Z403"/>
    <mergeCell ref="U403:V403"/>
    <mergeCell ref="R500:S500"/>
    <mergeCell ref="R521:S521"/>
    <mergeCell ref="A511:S511"/>
    <mergeCell ref="R512:S512"/>
    <mergeCell ref="B512:C512"/>
    <mergeCell ref="R517:S517"/>
    <mergeCell ref="P519:Q519"/>
    <mergeCell ref="P521:Q521"/>
    <mergeCell ref="H519:I519"/>
    <mergeCell ref="M518:O518"/>
    <mergeCell ref="R557:S557"/>
    <mergeCell ref="P557:Q557"/>
    <mergeCell ref="R556:S556"/>
    <mergeCell ref="R554:S554"/>
    <mergeCell ref="P556:Q556"/>
    <mergeCell ref="R555:S555"/>
    <mergeCell ref="P555:Q555"/>
    <mergeCell ref="P554:Q554"/>
    <mergeCell ref="AK403:AL403"/>
    <mergeCell ref="M521:O521"/>
    <mergeCell ref="M520:O520"/>
    <mergeCell ref="M528:O528"/>
    <mergeCell ref="M523:O523"/>
    <mergeCell ref="A525:S525"/>
    <mergeCell ref="J523:L523"/>
    <mergeCell ref="P443:Q443"/>
    <mergeCell ref="P435:Q435"/>
    <mergeCell ref="P422:Q422"/>
    <mergeCell ref="AA403:AB403"/>
    <mergeCell ref="AI403:AJ403"/>
    <mergeCell ref="R549:S549"/>
    <mergeCell ref="R459:S459"/>
    <mergeCell ref="R547:S547"/>
    <mergeCell ref="R524:S524"/>
    <mergeCell ref="R528:S528"/>
    <mergeCell ref="R518:S518"/>
    <mergeCell ref="R422:S422"/>
    <mergeCell ref="AF403:AH403"/>
    <mergeCell ref="R542:S542"/>
    <mergeCell ref="P534:Q534"/>
    <mergeCell ref="P536:Q536"/>
    <mergeCell ref="P537:Q537"/>
    <mergeCell ref="P538:Q538"/>
    <mergeCell ref="P540:Q540"/>
    <mergeCell ref="P541:Q541"/>
    <mergeCell ref="P535:Q535"/>
    <mergeCell ref="R538:S538"/>
    <mergeCell ref="R534:S534"/>
    <mergeCell ref="R552:S552"/>
    <mergeCell ref="R550:S550"/>
    <mergeCell ref="P550:Q550"/>
    <mergeCell ref="M549:O549"/>
    <mergeCell ref="M551:O551"/>
    <mergeCell ref="R546:S546"/>
    <mergeCell ref="P548:Q548"/>
    <mergeCell ref="R551:S551"/>
    <mergeCell ref="P551:Q551"/>
    <mergeCell ref="R548:S548"/>
    <mergeCell ref="P542:Q542"/>
    <mergeCell ref="P543:Q543"/>
    <mergeCell ref="P545:Q545"/>
    <mergeCell ref="D521:E521"/>
    <mergeCell ref="D520:E520"/>
    <mergeCell ref="D523:E523"/>
    <mergeCell ref="H522:I522"/>
    <mergeCell ref="H523:I523"/>
    <mergeCell ref="F523:G523"/>
    <mergeCell ref="P528:Q528"/>
    <mergeCell ref="M550:O550"/>
    <mergeCell ref="F518:G518"/>
    <mergeCell ref="J520:L520"/>
    <mergeCell ref="J518:L518"/>
    <mergeCell ref="F520:G520"/>
    <mergeCell ref="H520:I520"/>
    <mergeCell ref="F519:G519"/>
    <mergeCell ref="M541:O541"/>
    <mergeCell ref="M522:O522"/>
    <mergeCell ref="M531:O531"/>
    <mergeCell ref="J517:L517"/>
    <mergeCell ref="M529:O529"/>
    <mergeCell ref="M517:O517"/>
    <mergeCell ref="P520:Q520"/>
    <mergeCell ref="P524:Q524"/>
    <mergeCell ref="M524:O524"/>
    <mergeCell ref="P529:Q529"/>
    <mergeCell ref="P523:Q523"/>
    <mergeCell ref="P522:Q522"/>
    <mergeCell ref="J529:L529"/>
    <mergeCell ref="R561:S561"/>
    <mergeCell ref="R562:S562"/>
    <mergeCell ref="J563:L563"/>
    <mergeCell ref="U401:V401"/>
    <mergeCell ref="R543:S543"/>
    <mergeCell ref="R532:S532"/>
    <mergeCell ref="R537:S537"/>
    <mergeCell ref="R504:S504"/>
    <mergeCell ref="P563:Q563"/>
    <mergeCell ref="J522:L522"/>
    <mergeCell ref="P579:Q579"/>
    <mergeCell ref="M566:O566"/>
    <mergeCell ref="A568:Q568"/>
    <mergeCell ref="A578:C578"/>
    <mergeCell ref="A574:C575"/>
    <mergeCell ref="A573:Q573"/>
    <mergeCell ref="P569:Q570"/>
    <mergeCell ref="D569:O569"/>
    <mergeCell ref="A571:C571"/>
    <mergeCell ref="M565:O565"/>
    <mergeCell ref="R498:S498"/>
    <mergeCell ref="R536:S536"/>
    <mergeCell ref="R540:S540"/>
    <mergeCell ref="R563:S563"/>
    <mergeCell ref="P562:Q562"/>
    <mergeCell ref="P561:Q561"/>
    <mergeCell ref="D565:E565"/>
    <mergeCell ref="D563:E563"/>
    <mergeCell ref="H564:I564"/>
    <mergeCell ref="H563:I563"/>
    <mergeCell ref="A577:C577"/>
    <mergeCell ref="P574:Q575"/>
    <mergeCell ref="A572:C572"/>
    <mergeCell ref="P572:Q572"/>
    <mergeCell ref="P571:Q571"/>
    <mergeCell ref="B564:C564"/>
    <mergeCell ref="R566:S566"/>
    <mergeCell ref="R565:S565"/>
    <mergeCell ref="P564:Q564"/>
    <mergeCell ref="R564:S564"/>
    <mergeCell ref="P565:Q565"/>
    <mergeCell ref="P566:Q566"/>
    <mergeCell ref="D562:E562"/>
    <mergeCell ref="H561:I561"/>
    <mergeCell ref="B562:C562"/>
    <mergeCell ref="F562:G562"/>
    <mergeCell ref="F565:G565"/>
    <mergeCell ref="F561:G561"/>
    <mergeCell ref="B561:C561"/>
    <mergeCell ref="H565:I565"/>
    <mergeCell ref="B563:C563"/>
    <mergeCell ref="B565:C565"/>
    <mergeCell ref="T398:AL398"/>
    <mergeCell ref="T399:AL399"/>
    <mergeCell ref="U400:V400"/>
    <mergeCell ref="W400:X400"/>
    <mergeCell ref="Y400:Z400"/>
    <mergeCell ref="AA400:AB400"/>
    <mergeCell ref="AF400:AH400"/>
    <mergeCell ref="AK400:AL400"/>
    <mergeCell ref="B560:C560"/>
    <mergeCell ref="M555:O555"/>
    <mergeCell ref="AI400:AJ400"/>
    <mergeCell ref="AC400:AE400"/>
    <mergeCell ref="M556:O556"/>
    <mergeCell ref="J559:L559"/>
    <mergeCell ref="M559:O559"/>
    <mergeCell ref="P559:Q559"/>
    <mergeCell ref="M421:O421"/>
    <mergeCell ref="M420:O420"/>
    <mergeCell ref="A558:S558"/>
    <mergeCell ref="M489:O489"/>
    <mergeCell ref="D518:E518"/>
    <mergeCell ref="D528:E528"/>
    <mergeCell ref="F528:G528"/>
    <mergeCell ref="A516:S516"/>
    <mergeCell ref="D527:E527"/>
    <mergeCell ref="J519:L519"/>
    <mergeCell ref="H518:I518"/>
    <mergeCell ref="H517:I517"/>
    <mergeCell ref="J564:L564"/>
    <mergeCell ref="AC403:AE403"/>
    <mergeCell ref="W403:X403"/>
    <mergeCell ref="D561:E561"/>
    <mergeCell ref="F564:G564"/>
    <mergeCell ref="R503:S503"/>
    <mergeCell ref="F563:G563"/>
    <mergeCell ref="D564:E564"/>
    <mergeCell ref="P560:Q560"/>
    <mergeCell ref="R559:S559"/>
    <mergeCell ref="P577:Q577"/>
    <mergeCell ref="H566:I566"/>
    <mergeCell ref="J566:L566"/>
    <mergeCell ref="A567:Q567"/>
    <mergeCell ref="B566:C566"/>
    <mergeCell ref="A569:C570"/>
    <mergeCell ref="D566:E566"/>
    <mergeCell ref="F566:G566"/>
    <mergeCell ref="A576:C576"/>
    <mergeCell ref="D574:O574"/>
    <mergeCell ref="P576:Q576"/>
    <mergeCell ref="P583:Q584"/>
    <mergeCell ref="P593:Q593"/>
    <mergeCell ref="D583:O583"/>
    <mergeCell ref="P588:Q588"/>
    <mergeCell ref="P580:Q580"/>
    <mergeCell ref="P585:Q585"/>
    <mergeCell ref="P591:Q591"/>
    <mergeCell ref="P581:Q581"/>
    <mergeCell ref="P590:Q590"/>
    <mergeCell ref="A607:C608"/>
    <mergeCell ref="D607:O607"/>
    <mergeCell ref="P607:Q608"/>
    <mergeCell ref="D595:O595"/>
    <mergeCell ref="A605:C605"/>
    <mergeCell ref="A606:Q606"/>
    <mergeCell ref="A603:C603"/>
    <mergeCell ref="P602:Q602"/>
    <mergeCell ref="A602:C602"/>
    <mergeCell ref="P578:Q578"/>
    <mergeCell ref="A580:C580"/>
    <mergeCell ref="A589:C589"/>
    <mergeCell ref="P589:Q589"/>
    <mergeCell ref="A582:Q582"/>
    <mergeCell ref="A600:C600"/>
    <mergeCell ref="P600:Q600"/>
    <mergeCell ref="A585:C585"/>
    <mergeCell ref="A579:C579"/>
    <mergeCell ref="A581:C581"/>
    <mergeCell ref="A583:C584"/>
    <mergeCell ref="A591:C591"/>
    <mergeCell ref="A592:C592"/>
    <mergeCell ref="A594:Q594"/>
    <mergeCell ref="A588:C588"/>
    <mergeCell ref="P586:Q586"/>
    <mergeCell ref="A586:C586"/>
    <mergeCell ref="P605:Q605"/>
    <mergeCell ref="A597:C597"/>
    <mergeCell ref="P597:Q597"/>
    <mergeCell ref="P599:Q599"/>
    <mergeCell ref="A604:C604"/>
    <mergeCell ref="A598:C598"/>
    <mergeCell ref="A595:C596"/>
    <mergeCell ref="P595:Q596"/>
    <mergeCell ref="A593:C593"/>
    <mergeCell ref="P598:Q598"/>
    <mergeCell ref="A599:C599"/>
    <mergeCell ref="P604:Q604"/>
    <mergeCell ref="P603:Q603"/>
    <mergeCell ref="A590:C590"/>
    <mergeCell ref="A587:C587"/>
    <mergeCell ref="P587:Q587"/>
    <mergeCell ref="P592:Q592"/>
    <mergeCell ref="P601:Q601"/>
    <mergeCell ref="A601:C60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72"/>
  <sheetViews>
    <sheetView zoomScalePageLayoutView="0" workbookViewId="0" topLeftCell="D157">
      <selection activeCell="R168" sqref="R168"/>
    </sheetView>
  </sheetViews>
  <sheetFormatPr defaultColWidth="9.00390625" defaultRowHeight="12.75"/>
  <cols>
    <col min="5" max="5" width="12.625" style="0" bestFit="1" customWidth="1"/>
    <col min="6" max="6" width="13.625" style="0" bestFit="1" customWidth="1"/>
    <col min="7" max="17" width="12.625" style="0" bestFit="1" customWidth="1"/>
  </cols>
  <sheetData>
    <row r="1" spans="1:17" ht="19.5" thickBot="1">
      <c r="A1" s="258" t="s">
        <v>505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</row>
    <row r="2" spans="1:17" ht="13.5" thickBot="1">
      <c r="A2" s="259" t="s">
        <v>173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1"/>
    </row>
    <row r="3" spans="1:17" ht="12.75">
      <c r="A3" s="138" t="s">
        <v>199</v>
      </c>
      <c r="B3" s="138"/>
      <c r="C3" s="138"/>
      <c r="D3" s="138"/>
      <c r="E3" s="29">
        <v>44197</v>
      </c>
      <c r="F3" s="29">
        <v>44228</v>
      </c>
      <c r="G3" s="29">
        <v>44256</v>
      </c>
      <c r="H3" s="29">
        <v>44287</v>
      </c>
      <c r="I3" s="29">
        <v>44317</v>
      </c>
      <c r="J3" s="29">
        <v>44348</v>
      </c>
      <c r="K3" s="29">
        <v>44378</v>
      </c>
      <c r="L3" s="29">
        <v>44409</v>
      </c>
      <c r="M3" s="29">
        <v>44440</v>
      </c>
      <c r="N3" s="29">
        <v>44470</v>
      </c>
      <c r="O3" s="29">
        <v>44501</v>
      </c>
      <c r="P3" s="29">
        <v>44531</v>
      </c>
      <c r="Q3" s="29">
        <v>44562</v>
      </c>
    </row>
    <row r="4" spans="1:17" ht="12.75">
      <c r="A4" s="115" t="s">
        <v>200</v>
      </c>
      <c r="B4" s="115"/>
      <c r="C4" s="115"/>
      <c r="D4" s="115"/>
      <c r="E4" s="24"/>
      <c r="F4" s="24"/>
      <c r="G4" s="24"/>
      <c r="H4" s="24"/>
      <c r="I4" s="24"/>
      <c r="J4" s="24"/>
      <c r="K4" s="24"/>
      <c r="L4" s="24"/>
      <c r="M4" s="25">
        <v>2083333.33</v>
      </c>
      <c r="N4" s="13">
        <v>2027027.02</v>
      </c>
      <c r="O4" s="8">
        <v>1970720.72</v>
      </c>
      <c r="P4" s="8">
        <v>1914414.41</v>
      </c>
      <c r="Q4" s="8">
        <v>1858108.11</v>
      </c>
    </row>
    <row r="5" spans="1:17" ht="13.5" thickBot="1">
      <c r="A5" s="127" t="s">
        <v>201</v>
      </c>
      <c r="B5" s="128"/>
      <c r="C5" s="128"/>
      <c r="D5" s="129"/>
      <c r="E5" s="14"/>
      <c r="F5" s="14"/>
      <c r="G5" s="14"/>
      <c r="H5" s="14"/>
      <c r="I5" s="14"/>
      <c r="J5" s="14"/>
      <c r="K5" s="14"/>
      <c r="L5" s="14"/>
      <c r="M5" s="14"/>
      <c r="N5" s="16">
        <f>(N4+M4)/10/100*2.2</f>
        <v>9042.79277</v>
      </c>
      <c r="O5" s="14"/>
      <c r="P5" s="14"/>
      <c r="Q5" s="16">
        <f>(Q4+P4+O4+N4+M4)/13/100*2.2-N5</f>
        <v>7632.536382307695</v>
      </c>
    </row>
    <row r="6" spans="1:17" ht="13.5" thickBot="1">
      <c r="A6" s="252" t="s">
        <v>177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4"/>
    </row>
    <row r="7" spans="1:17" ht="12.75">
      <c r="A7" s="138" t="s">
        <v>199</v>
      </c>
      <c r="B7" s="138"/>
      <c r="C7" s="138"/>
      <c r="D7" s="138"/>
      <c r="E7" s="29">
        <v>44562</v>
      </c>
      <c r="F7" s="29">
        <v>44593</v>
      </c>
      <c r="G7" s="29">
        <v>44621</v>
      </c>
      <c r="H7" s="29">
        <v>44652</v>
      </c>
      <c r="I7" s="29">
        <v>44682</v>
      </c>
      <c r="J7" s="29">
        <v>44713</v>
      </c>
      <c r="K7" s="29">
        <v>44743</v>
      </c>
      <c r="L7" s="29">
        <v>44774</v>
      </c>
      <c r="M7" s="29">
        <v>44805</v>
      </c>
      <c r="N7" s="29">
        <v>44835</v>
      </c>
      <c r="O7" s="29">
        <v>44866</v>
      </c>
      <c r="P7" s="29">
        <v>44896</v>
      </c>
      <c r="Q7" s="29">
        <v>44927</v>
      </c>
    </row>
    <row r="8" spans="1:17" ht="12.75">
      <c r="A8" s="115" t="s">
        <v>200</v>
      </c>
      <c r="B8" s="115"/>
      <c r="C8" s="115"/>
      <c r="D8" s="115"/>
      <c r="E8" s="8">
        <v>1858108.11</v>
      </c>
      <c r="F8" s="8">
        <v>1801801.8</v>
      </c>
      <c r="G8" s="8">
        <v>1745495.49</v>
      </c>
      <c r="H8" s="8">
        <v>1689189.19</v>
      </c>
      <c r="I8" s="13">
        <v>1632882.88</v>
      </c>
      <c r="J8" s="13">
        <v>1576576.57</v>
      </c>
      <c r="K8" s="13">
        <v>1520270.27</v>
      </c>
      <c r="L8" s="13">
        <v>1463963.96</v>
      </c>
      <c r="M8" s="13">
        <v>1407657.66</v>
      </c>
      <c r="N8" s="24">
        <v>1351351.35</v>
      </c>
      <c r="O8" s="8">
        <v>1295045.04</v>
      </c>
      <c r="P8" s="8">
        <v>1238738.74</v>
      </c>
      <c r="Q8" s="8">
        <v>1182432.43</v>
      </c>
    </row>
    <row r="9" spans="1:17" ht="12.75">
      <c r="A9" s="115" t="s">
        <v>178</v>
      </c>
      <c r="B9" s="115"/>
      <c r="C9" s="115"/>
      <c r="D9" s="115"/>
      <c r="E9" s="24"/>
      <c r="F9" s="24"/>
      <c r="G9" s="24"/>
      <c r="H9" s="24"/>
      <c r="I9" s="24"/>
      <c r="J9" s="24"/>
      <c r="K9" s="24"/>
      <c r="L9" s="24"/>
      <c r="M9" s="8">
        <v>103893983.05</v>
      </c>
      <c r="N9" s="8">
        <v>103035355.09</v>
      </c>
      <c r="O9" s="8">
        <v>102176727.13</v>
      </c>
      <c r="P9" s="8">
        <v>101318099.17</v>
      </c>
      <c r="Q9" s="26">
        <v>100459471.21</v>
      </c>
    </row>
    <row r="10" spans="1:17" ht="12.75">
      <c r="A10" s="115" t="s">
        <v>179</v>
      </c>
      <c r="B10" s="115"/>
      <c r="C10" s="115"/>
      <c r="D10" s="115"/>
      <c r="E10" s="24"/>
      <c r="F10" s="24"/>
      <c r="G10" s="24"/>
      <c r="H10" s="24"/>
      <c r="I10" s="24"/>
      <c r="J10" s="24"/>
      <c r="K10" s="24"/>
      <c r="L10" s="24"/>
      <c r="M10" s="8">
        <v>25038983.05</v>
      </c>
      <c r="N10" s="8">
        <v>24955797.06</v>
      </c>
      <c r="O10" s="8">
        <v>24872611.07</v>
      </c>
      <c r="P10" s="8">
        <v>24789425.08</v>
      </c>
      <c r="Q10" s="8">
        <v>24706239.09</v>
      </c>
    </row>
    <row r="11" spans="1:17" ht="12.75">
      <c r="A11" s="115" t="s">
        <v>180</v>
      </c>
      <c r="B11" s="115"/>
      <c r="C11" s="115"/>
      <c r="D11" s="115"/>
      <c r="E11" s="24"/>
      <c r="F11" s="24"/>
      <c r="G11" s="24"/>
      <c r="H11" s="24"/>
      <c r="I11" s="24"/>
      <c r="J11" s="24"/>
      <c r="K11" s="24"/>
      <c r="L11" s="24"/>
      <c r="M11" s="8">
        <v>16133333.34</v>
      </c>
      <c r="N11" s="8">
        <v>15943529.42</v>
      </c>
      <c r="O11" s="8">
        <v>15753725.5</v>
      </c>
      <c r="P11" s="8">
        <v>15563921.58</v>
      </c>
      <c r="Q11" s="8">
        <v>15374117.66</v>
      </c>
    </row>
    <row r="12" spans="1:17" ht="12.75">
      <c r="A12" s="115" t="s">
        <v>181</v>
      </c>
      <c r="B12" s="115"/>
      <c r="C12" s="115"/>
      <c r="D12" s="115"/>
      <c r="E12" s="24"/>
      <c r="F12" s="24"/>
      <c r="G12" s="24"/>
      <c r="H12" s="24"/>
      <c r="I12" s="24"/>
      <c r="J12" s="24"/>
      <c r="K12" s="24"/>
      <c r="L12" s="24"/>
      <c r="M12" s="13">
        <v>5613333.34</v>
      </c>
      <c r="N12" s="13">
        <v>5547294.12</v>
      </c>
      <c r="O12" s="13">
        <v>5481254.9</v>
      </c>
      <c r="P12" s="13">
        <v>5415215.7</v>
      </c>
      <c r="Q12" s="13">
        <v>5349176.48</v>
      </c>
    </row>
    <row r="13" spans="1:17" ht="12.75">
      <c r="A13" s="115" t="s">
        <v>182</v>
      </c>
      <c r="B13" s="115"/>
      <c r="C13" s="115"/>
      <c r="D13" s="115"/>
      <c r="E13" s="24"/>
      <c r="F13" s="24"/>
      <c r="G13" s="24"/>
      <c r="H13" s="24"/>
      <c r="I13" s="24"/>
      <c r="J13" s="24"/>
      <c r="K13" s="24"/>
      <c r="L13" s="24"/>
      <c r="M13" s="13">
        <v>416666.67</v>
      </c>
      <c r="N13" s="13">
        <v>411764.1</v>
      </c>
      <c r="O13" s="13">
        <v>406862.75</v>
      </c>
      <c r="P13" s="13">
        <v>401960.79</v>
      </c>
      <c r="Q13" s="13">
        <v>397058.83</v>
      </c>
    </row>
    <row r="14" spans="1:17" ht="12.75">
      <c r="A14" s="115" t="s">
        <v>202</v>
      </c>
      <c r="B14" s="115"/>
      <c r="C14" s="115"/>
      <c r="D14" s="115"/>
      <c r="E14" s="8">
        <f>E13+E12+E11+E10+E9+E8</f>
        <v>1858108.11</v>
      </c>
      <c r="F14" s="8">
        <f aca="true" t="shared" si="0" ref="F14:L14">F13+F12+F11+F10+F9+F8</f>
        <v>1801801.8</v>
      </c>
      <c r="G14" s="8">
        <f t="shared" si="0"/>
        <v>1745495.49</v>
      </c>
      <c r="H14" s="8">
        <f t="shared" si="0"/>
        <v>1689189.19</v>
      </c>
      <c r="I14" s="8">
        <f>I13+I12+I11+I10+I9+I8</f>
        <v>1632882.88</v>
      </c>
      <c r="J14" s="8">
        <f t="shared" si="0"/>
        <v>1576576.57</v>
      </c>
      <c r="K14" s="8">
        <f t="shared" si="0"/>
        <v>1520270.27</v>
      </c>
      <c r="L14" s="8">
        <f t="shared" si="0"/>
        <v>1463963.96</v>
      </c>
      <c r="M14" s="8">
        <f>M13+M12+M11+M10+M9+M8</f>
        <v>152503957.10999998</v>
      </c>
      <c r="N14" s="8">
        <f>N13+N12+N11+N10+N9+N8</f>
        <v>151245091.14000002</v>
      </c>
      <c r="O14" s="8">
        <f>O13+O12+O11+O10+O9+O8</f>
        <v>149986226.39</v>
      </c>
      <c r="P14" s="8">
        <f>P13+P12+P11+P10+P9+P8</f>
        <v>148727361.06</v>
      </c>
      <c r="Q14" s="8">
        <f>Q13+Q12+Q11+Q10+Q9+Q8</f>
        <v>147468495.7</v>
      </c>
    </row>
    <row r="15" spans="1:17" ht="13.5" thickBot="1">
      <c r="A15" s="126" t="s">
        <v>201</v>
      </c>
      <c r="B15" s="126"/>
      <c r="C15" s="126"/>
      <c r="D15" s="126"/>
      <c r="E15" s="14"/>
      <c r="F15" s="14"/>
      <c r="G15" s="14"/>
      <c r="H15" s="16">
        <f>(E14+F14+G14+H14)/4/100*2.2</f>
        <v>39020.270245</v>
      </c>
      <c r="I15" s="14"/>
      <c r="J15" s="14"/>
      <c r="K15" s="16">
        <f>(E14+F14+G14+H14+I14+J14+K14)/7/100*2.2</f>
        <v>37162.162117142856</v>
      </c>
      <c r="L15" s="14"/>
      <c r="M15" s="14"/>
      <c r="N15" s="16">
        <f>(E14+F14+G14+H14+I14+J14+K14+L14+M14+N14)/10/100*2.2</f>
        <v>697482.1403440001</v>
      </c>
      <c r="O15" s="14"/>
      <c r="P15" s="14"/>
      <c r="Q15" s="16">
        <f>(E14+F14+G14+H14+I14+J14+K14+L14+M14+N14+O14+P14+Q14)/13/100*2.2-H15-K15-N15</f>
        <v>517937.52212001116</v>
      </c>
    </row>
    <row r="16" spans="1:17" ht="13.5" thickBot="1">
      <c r="A16" s="252" t="s">
        <v>183</v>
      </c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4"/>
    </row>
    <row r="17" spans="1:17" ht="12.75">
      <c r="A17" s="138" t="s">
        <v>199</v>
      </c>
      <c r="B17" s="138"/>
      <c r="C17" s="138"/>
      <c r="D17" s="138"/>
      <c r="E17" s="29">
        <v>44927</v>
      </c>
      <c r="F17" s="29">
        <v>44958</v>
      </c>
      <c r="G17" s="29">
        <v>44986</v>
      </c>
      <c r="H17" s="29">
        <v>45017</v>
      </c>
      <c r="I17" s="29">
        <v>45047</v>
      </c>
      <c r="J17" s="29">
        <v>45078</v>
      </c>
      <c r="K17" s="29">
        <v>45108</v>
      </c>
      <c r="L17" s="29">
        <v>45139</v>
      </c>
      <c r="M17" s="29">
        <v>45170</v>
      </c>
      <c r="N17" s="29">
        <v>45200</v>
      </c>
      <c r="O17" s="29">
        <v>45231</v>
      </c>
      <c r="P17" s="29">
        <v>45261</v>
      </c>
      <c r="Q17" s="29">
        <v>45292</v>
      </c>
    </row>
    <row r="18" spans="1:17" ht="12.75">
      <c r="A18" s="115" t="s">
        <v>200</v>
      </c>
      <c r="B18" s="115"/>
      <c r="C18" s="115"/>
      <c r="D18" s="115"/>
      <c r="E18" s="26">
        <v>1182432.43</v>
      </c>
      <c r="F18" s="26">
        <v>1126126.12</v>
      </c>
      <c r="G18" s="26">
        <v>1069819.82</v>
      </c>
      <c r="H18" s="26">
        <v>1013513.51</v>
      </c>
      <c r="I18" s="26">
        <v>957207.21</v>
      </c>
      <c r="J18" s="26">
        <v>900900.9</v>
      </c>
      <c r="K18" s="26">
        <v>844594.59</v>
      </c>
      <c r="L18" s="26">
        <v>788288.29</v>
      </c>
      <c r="M18" s="26">
        <v>731981.98</v>
      </c>
      <c r="N18" s="26">
        <v>675675.67</v>
      </c>
      <c r="O18" s="26">
        <v>619369.37</v>
      </c>
      <c r="P18" s="26">
        <v>563063.06</v>
      </c>
      <c r="Q18" s="26">
        <v>506756.76</v>
      </c>
    </row>
    <row r="19" spans="1:17" ht="12.75">
      <c r="A19" s="115" t="s">
        <v>178</v>
      </c>
      <c r="B19" s="115"/>
      <c r="C19" s="115"/>
      <c r="D19" s="115"/>
      <c r="E19" s="26">
        <v>100459471.21</v>
      </c>
      <c r="F19" s="26">
        <v>99600843.25</v>
      </c>
      <c r="G19" s="26">
        <v>98742215.3</v>
      </c>
      <c r="H19" s="26">
        <v>97883587.34</v>
      </c>
      <c r="I19" s="26">
        <v>97024959.38</v>
      </c>
      <c r="J19" s="26">
        <v>96166331.42</v>
      </c>
      <c r="K19" s="26">
        <v>95307703.46</v>
      </c>
      <c r="L19" s="26">
        <v>94449075.5</v>
      </c>
      <c r="M19" s="26">
        <v>93590447.54</v>
      </c>
      <c r="N19" s="26">
        <v>92731819.58</v>
      </c>
      <c r="O19" s="26">
        <v>91873191.62</v>
      </c>
      <c r="P19" s="26">
        <v>91014563.66</v>
      </c>
      <c r="Q19" s="26">
        <v>90155935.7</v>
      </c>
    </row>
    <row r="20" spans="1:17" ht="12.75">
      <c r="A20" s="152" t="s">
        <v>179</v>
      </c>
      <c r="B20" s="207"/>
      <c r="C20" s="207"/>
      <c r="D20" s="208"/>
      <c r="E20" s="8">
        <v>24706239.09</v>
      </c>
      <c r="F20" s="26">
        <v>24623053.1</v>
      </c>
      <c r="G20" s="26">
        <v>24539867.11</v>
      </c>
      <c r="H20" s="26">
        <v>24456681.12</v>
      </c>
      <c r="I20" s="26">
        <v>24373495.13</v>
      </c>
      <c r="J20" s="26">
        <v>24290309.14</v>
      </c>
      <c r="K20" s="26">
        <v>24207123.15</v>
      </c>
      <c r="L20" s="26">
        <v>24123937.16</v>
      </c>
      <c r="M20" s="26">
        <v>24040751.17</v>
      </c>
      <c r="N20" s="26">
        <v>23957565.18</v>
      </c>
      <c r="O20" s="26">
        <v>23874379.19</v>
      </c>
      <c r="P20" s="26">
        <v>23791193.2</v>
      </c>
      <c r="Q20" s="26">
        <v>23708007.21</v>
      </c>
    </row>
    <row r="21" spans="1:17" ht="12.75">
      <c r="A21" s="152" t="s">
        <v>180</v>
      </c>
      <c r="B21" s="207"/>
      <c r="C21" s="207"/>
      <c r="D21" s="208"/>
      <c r="E21" s="8">
        <v>15374117.66</v>
      </c>
      <c r="F21" s="26">
        <v>15184313.74</v>
      </c>
      <c r="G21" s="26">
        <v>14994509.82</v>
      </c>
      <c r="H21" s="26">
        <v>14804705.88</v>
      </c>
      <c r="I21" s="26">
        <v>14614901.96</v>
      </c>
      <c r="J21" s="26">
        <v>14425098.04</v>
      </c>
      <c r="K21" s="26">
        <v>14235294.12</v>
      </c>
      <c r="L21" s="26">
        <v>14045490.2</v>
      </c>
      <c r="M21" s="26">
        <v>13855686.28</v>
      </c>
      <c r="N21" s="26">
        <v>13665882.36</v>
      </c>
      <c r="O21" s="26">
        <v>13476078.44</v>
      </c>
      <c r="P21" s="26">
        <v>13286274.52</v>
      </c>
      <c r="Q21" s="26">
        <v>13096470.6</v>
      </c>
    </row>
    <row r="22" spans="1:17" ht="12.75">
      <c r="A22" s="152" t="s">
        <v>181</v>
      </c>
      <c r="B22" s="207"/>
      <c r="C22" s="207"/>
      <c r="D22" s="208"/>
      <c r="E22" s="8">
        <v>5349176.48</v>
      </c>
      <c r="F22" s="26">
        <v>5283137.26</v>
      </c>
      <c r="G22" s="26">
        <v>5217098.04</v>
      </c>
      <c r="H22" s="26">
        <v>5151058.82</v>
      </c>
      <c r="I22" s="26">
        <v>5085019.62</v>
      </c>
      <c r="J22" s="26">
        <v>5018980.4</v>
      </c>
      <c r="K22" s="26">
        <v>4952941.18</v>
      </c>
      <c r="L22" s="26">
        <v>4886901.96</v>
      </c>
      <c r="M22" s="26">
        <v>4820862.76</v>
      </c>
      <c r="N22" s="26">
        <v>4754823.54</v>
      </c>
      <c r="O22" s="26">
        <v>4688784.32</v>
      </c>
      <c r="P22" s="26">
        <v>4622745.1</v>
      </c>
      <c r="Q22" s="26">
        <v>4556705.88</v>
      </c>
    </row>
    <row r="23" spans="1:17" ht="12.75">
      <c r="A23" s="152" t="s">
        <v>184</v>
      </c>
      <c r="B23" s="207"/>
      <c r="C23" s="207"/>
      <c r="D23" s="208"/>
      <c r="E23" s="24"/>
      <c r="F23" s="24"/>
      <c r="G23" s="24"/>
      <c r="H23" s="24"/>
      <c r="I23" s="24"/>
      <c r="J23" s="24"/>
      <c r="K23" s="24"/>
      <c r="L23" s="24"/>
      <c r="M23" s="26">
        <v>144762389.83</v>
      </c>
      <c r="N23" s="26">
        <v>143566006.44</v>
      </c>
      <c r="O23" s="26">
        <v>142369623.06</v>
      </c>
      <c r="P23" s="26">
        <v>141173239.67</v>
      </c>
      <c r="Q23" s="26">
        <v>139976856.28</v>
      </c>
    </row>
    <row r="24" spans="1:17" ht="12.75">
      <c r="A24" s="152" t="s">
        <v>185</v>
      </c>
      <c r="B24" s="207"/>
      <c r="C24" s="207"/>
      <c r="D24" s="208"/>
      <c r="E24" s="24"/>
      <c r="F24" s="24"/>
      <c r="G24" s="24"/>
      <c r="H24" s="24"/>
      <c r="I24" s="24"/>
      <c r="J24" s="24"/>
      <c r="K24" s="24"/>
      <c r="L24" s="24"/>
      <c r="M24" s="20">
        <v>33154237.29</v>
      </c>
      <c r="N24" s="20">
        <v>33044090.32</v>
      </c>
      <c r="O24" s="20">
        <v>32933943.35</v>
      </c>
      <c r="P24" s="20">
        <v>32823796.39</v>
      </c>
      <c r="Q24" s="20">
        <v>32713649.42</v>
      </c>
    </row>
    <row r="25" spans="1:17" ht="12.75">
      <c r="A25" s="152" t="s">
        <v>186</v>
      </c>
      <c r="B25" s="207"/>
      <c r="C25" s="207"/>
      <c r="D25" s="208"/>
      <c r="E25" s="8"/>
      <c r="F25" s="8"/>
      <c r="G25" s="8"/>
      <c r="H25" s="8"/>
      <c r="I25" s="8"/>
      <c r="J25" s="8"/>
      <c r="K25" s="8"/>
      <c r="L25" s="8"/>
      <c r="M25" s="8">
        <v>8066666.67</v>
      </c>
      <c r="N25" s="8">
        <v>7971764.71</v>
      </c>
      <c r="O25" s="8">
        <v>7876862.75</v>
      </c>
      <c r="P25" s="8">
        <v>7781960.79</v>
      </c>
      <c r="Q25" s="8">
        <v>7687058.83</v>
      </c>
    </row>
    <row r="26" spans="1:17" ht="12.75">
      <c r="A26" s="152" t="s">
        <v>187</v>
      </c>
      <c r="B26" s="207"/>
      <c r="C26" s="207"/>
      <c r="D26" s="208"/>
      <c r="E26" s="13"/>
      <c r="F26" s="13"/>
      <c r="G26" s="13"/>
      <c r="H26" s="15"/>
      <c r="I26" s="13"/>
      <c r="J26" s="13"/>
      <c r="K26" s="15"/>
      <c r="L26" s="13"/>
      <c r="M26" s="13">
        <v>2806666.67</v>
      </c>
      <c r="N26" s="8">
        <v>2773647.06</v>
      </c>
      <c r="O26" s="13">
        <v>2740627.45</v>
      </c>
      <c r="P26" s="13">
        <v>2707607.85</v>
      </c>
      <c r="Q26" s="8">
        <v>2674588.24</v>
      </c>
    </row>
    <row r="27" spans="1:17" ht="12.75">
      <c r="A27" s="152" t="s">
        <v>182</v>
      </c>
      <c r="B27" s="207"/>
      <c r="C27" s="207"/>
      <c r="D27" s="208"/>
      <c r="E27" s="13">
        <v>397058.83</v>
      </c>
      <c r="F27" s="26">
        <v>392156.87</v>
      </c>
      <c r="G27" s="26">
        <v>387254.91</v>
      </c>
      <c r="H27" s="26">
        <v>382352.94</v>
      </c>
      <c r="I27" s="26">
        <v>377450.98</v>
      </c>
      <c r="J27" s="26">
        <v>372549.02</v>
      </c>
      <c r="K27" s="26">
        <v>367647.06</v>
      </c>
      <c r="L27" s="26">
        <v>362745.1</v>
      </c>
      <c r="M27" s="26">
        <v>357843.14</v>
      </c>
      <c r="N27" s="26">
        <v>352941.18</v>
      </c>
      <c r="O27" s="26">
        <v>348039.22</v>
      </c>
      <c r="P27" s="26">
        <v>343137.26</v>
      </c>
      <c r="Q27" s="26">
        <v>338235.3</v>
      </c>
    </row>
    <row r="28" spans="1:17" ht="12.75">
      <c r="A28" s="152" t="s">
        <v>202</v>
      </c>
      <c r="B28" s="207"/>
      <c r="C28" s="207"/>
      <c r="D28" s="208"/>
      <c r="E28" s="8">
        <f aca="true" t="shared" si="1" ref="E28:Q28">E27+E26+E25+E24+E23+E22+E21+E20+E19+E18</f>
        <v>147468495.7</v>
      </c>
      <c r="F28" s="8">
        <f t="shared" si="1"/>
        <v>146209630.34</v>
      </c>
      <c r="G28" s="8">
        <f t="shared" si="1"/>
        <v>144950765</v>
      </c>
      <c r="H28" s="8">
        <f t="shared" si="1"/>
        <v>143691899.61</v>
      </c>
      <c r="I28" s="8">
        <f t="shared" si="1"/>
        <v>142433034.28</v>
      </c>
      <c r="J28" s="8">
        <f t="shared" si="1"/>
        <v>141174168.92000002</v>
      </c>
      <c r="K28" s="8">
        <f t="shared" si="1"/>
        <v>139915303.56</v>
      </c>
      <c r="L28" s="8">
        <f t="shared" si="1"/>
        <v>138656438.21</v>
      </c>
      <c r="M28" s="8">
        <f t="shared" si="1"/>
        <v>326187533.33000004</v>
      </c>
      <c r="N28" s="8">
        <f t="shared" si="1"/>
        <v>323494216.03999996</v>
      </c>
      <c r="O28" s="8">
        <f t="shared" si="1"/>
        <v>320800898.77</v>
      </c>
      <c r="P28" s="8">
        <f t="shared" si="1"/>
        <v>318107581.49999994</v>
      </c>
      <c r="Q28" s="8">
        <f t="shared" si="1"/>
        <v>315414264.21999997</v>
      </c>
    </row>
    <row r="29" spans="1:17" ht="13.5" thickBot="1">
      <c r="A29" s="249" t="s">
        <v>201</v>
      </c>
      <c r="B29" s="250"/>
      <c r="C29" s="250"/>
      <c r="D29" s="251"/>
      <c r="E29" s="14"/>
      <c r="F29" s="14"/>
      <c r="G29" s="14"/>
      <c r="H29" s="16">
        <f>(E28+F28+G28+H28)/4/100*2.2</f>
        <v>3202764.348575</v>
      </c>
      <c r="I29" s="14"/>
      <c r="J29" s="14"/>
      <c r="K29" s="16">
        <f>(E28+F28+G28+H28+I28+J28+K28)/7/100*2.2</f>
        <v>3161221.7918599998</v>
      </c>
      <c r="L29" s="14"/>
      <c r="M29" s="14"/>
      <c r="N29" s="16">
        <f>(E28+F28+G28+H28+I28+J28+K28+L28+M28+N28)/10/100*2.2</f>
        <v>3947199.266978</v>
      </c>
      <c r="O29" s="14"/>
      <c r="P29" s="14"/>
      <c r="Q29" s="16">
        <f>(E28+F28+G28+H28+I28+J28+K28+L28+M28+N28+O28+P28+Q28)/13/100*2.2-H29-K29-N29</f>
        <v>-5659870.557523768</v>
      </c>
    </row>
    <row r="30" spans="1:17" ht="13.5" thickBot="1">
      <c r="A30" s="252" t="s">
        <v>188</v>
      </c>
      <c r="B30" s="253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4"/>
    </row>
    <row r="31" spans="1:17" ht="12.75">
      <c r="A31" s="255" t="s">
        <v>199</v>
      </c>
      <c r="B31" s="256"/>
      <c r="C31" s="256"/>
      <c r="D31" s="257"/>
      <c r="E31" s="29">
        <v>45292</v>
      </c>
      <c r="F31" s="29">
        <v>45323</v>
      </c>
      <c r="G31" s="29">
        <v>45352</v>
      </c>
      <c r="H31" s="29">
        <v>45383</v>
      </c>
      <c r="I31" s="29">
        <v>45413</v>
      </c>
      <c r="J31" s="29">
        <v>45444</v>
      </c>
      <c r="K31" s="29">
        <v>45474</v>
      </c>
      <c r="L31" s="29">
        <v>45505</v>
      </c>
      <c r="M31" s="29">
        <v>45536</v>
      </c>
      <c r="N31" s="29">
        <v>45566</v>
      </c>
      <c r="O31" s="29">
        <v>45597</v>
      </c>
      <c r="P31" s="29">
        <v>45627</v>
      </c>
      <c r="Q31" s="29">
        <v>45658</v>
      </c>
    </row>
    <row r="32" spans="1:17" ht="12.75">
      <c r="A32" s="115" t="s">
        <v>200</v>
      </c>
      <c r="B32" s="115"/>
      <c r="C32" s="115"/>
      <c r="D32" s="115"/>
      <c r="E32" s="26">
        <v>506756.76</v>
      </c>
      <c r="F32" s="26">
        <v>450450.45</v>
      </c>
      <c r="G32" s="26">
        <v>394144.14</v>
      </c>
      <c r="H32" s="26">
        <v>337837.84</v>
      </c>
      <c r="I32" s="26">
        <v>281531.53</v>
      </c>
      <c r="J32" s="26">
        <v>225225.22</v>
      </c>
      <c r="K32" s="26">
        <v>168918.92</v>
      </c>
      <c r="L32" s="26">
        <v>112612.61</v>
      </c>
      <c r="M32" s="26">
        <v>56306.31</v>
      </c>
      <c r="N32" s="26"/>
      <c r="O32" s="26"/>
      <c r="P32" s="26"/>
      <c r="Q32" s="26"/>
    </row>
    <row r="33" spans="1:17" ht="12.75">
      <c r="A33" s="152" t="s">
        <v>178</v>
      </c>
      <c r="B33" s="207"/>
      <c r="C33" s="207"/>
      <c r="D33" s="208"/>
      <c r="E33" s="26">
        <v>90155935.7</v>
      </c>
      <c r="F33" s="26">
        <v>89297307.75</v>
      </c>
      <c r="G33" s="26">
        <v>88438679.79</v>
      </c>
      <c r="H33" s="26">
        <v>87580051.83</v>
      </c>
      <c r="I33" s="26">
        <v>87721423.87</v>
      </c>
      <c r="J33" s="26">
        <v>85862795.91</v>
      </c>
      <c r="K33" s="26">
        <v>85004167.95</v>
      </c>
      <c r="L33" s="26">
        <v>84145539.99</v>
      </c>
      <c r="M33" s="26">
        <v>83286912.03</v>
      </c>
      <c r="N33" s="26">
        <v>82428284.07</v>
      </c>
      <c r="O33" s="26">
        <v>81569656.11</v>
      </c>
      <c r="P33" s="26">
        <v>80711028.15</v>
      </c>
      <c r="Q33" s="26">
        <v>79852400.2</v>
      </c>
    </row>
    <row r="34" spans="1:17" ht="12.75">
      <c r="A34" s="152" t="s">
        <v>179</v>
      </c>
      <c r="B34" s="207"/>
      <c r="C34" s="207"/>
      <c r="D34" s="208"/>
      <c r="E34" s="26">
        <v>23708007.21</v>
      </c>
      <c r="F34" s="26">
        <v>23624821.22</v>
      </c>
      <c r="G34" s="26">
        <v>23541635.23</v>
      </c>
      <c r="H34" s="26">
        <v>23458449.24</v>
      </c>
      <c r="I34" s="26">
        <v>23375263.25</v>
      </c>
      <c r="J34" s="26">
        <v>23292077.26</v>
      </c>
      <c r="K34" s="26">
        <v>23208891.27</v>
      </c>
      <c r="L34" s="26">
        <v>23125705.28</v>
      </c>
      <c r="M34" s="26">
        <v>23042519.29</v>
      </c>
      <c r="N34" s="26">
        <v>22959333.3</v>
      </c>
      <c r="O34" s="26">
        <v>22876147.3</v>
      </c>
      <c r="P34" s="26">
        <v>22792961.31</v>
      </c>
      <c r="Q34" s="26">
        <v>22709775.32</v>
      </c>
    </row>
    <row r="35" spans="1:17" ht="12.75">
      <c r="A35" s="152" t="s">
        <v>180</v>
      </c>
      <c r="B35" s="207"/>
      <c r="C35" s="207"/>
      <c r="D35" s="208"/>
      <c r="E35" s="26">
        <v>13096470.6</v>
      </c>
      <c r="F35" s="26">
        <v>12906666.68</v>
      </c>
      <c r="G35" s="26">
        <v>12716862.76</v>
      </c>
      <c r="H35" s="26">
        <v>12527058.82</v>
      </c>
      <c r="I35" s="26">
        <v>12337254.9</v>
      </c>
      <c r="J35" s="26">
        <v>12147450.98</v>
      </c>
      <c r="K35" s="26">
        <v>11957647.06</v>
      </c>
      <c r="L35" s="26">
        <v>11767843.14</v>
      </c>
      <c r="M35" s="26">
        <v>11578039.22</v>
      </c>
      <c r="N35" s="26">
        <v>11388235.3</v>
      </c>
      <c r="O35" s="26">
        <v>11198431.38</v>
      </c>
      <c r="P35" s="26">
        <v>11008627.46</v>
      </c>
      <c r="Q35" s="26">
        <v>10818823.54</v>
      </c>
    </row>
    <row r="36" spans="1:17" ht="12.75">
      <c r="A36" s="152" t="s">
        <v>181</v>
      </c>
      <c r="B36" s="207"/>
      <c r="C36" s="207"/>
      <c r="D36" s="208"/>
      <c r="E36" s="26">
        <v>4556705.88</v>
      </c>
      <c r="F36" s="26">
        <v>4490666.68</v>
      </c>
      <c r="G36" s="26">
        <v>4424627.46</v>
      </c>
      <c r="H36" s="26">
        <v>4358588.24</v>
      </c>
      <c r="I36" s="26">
        <v>4292549.02</v>
      </c>
      <c r="J36" s="26">
        <v>4226509.8</v>
      </c>
      <c r="K36" s="26">
        <v>4160470.6</v>
      </c>
      <c r="L36" s="26">
        <v>4094431.38</v>
      </c>
      <c r="M36" s="26">
        <v>4028392.16</v>
      </c>
      <c r="N36" s="26">
        <v>3962352.94</v>
      </c>
      <c r="O36" s="26">
        <v>3896313.74</v>
      </c>
      <c r="P36" s="26">
        <v>3830274.52</v>
      </c>
      <c r="Q36" s="26">
        <v>3764235.3</v>
      </c>
    </row>
    <row r="37" spans="1:17" ht="12.75">
      <c r="A37" s="152" t="s">
        <v>184</v>
      </c>
      <c r="B37" s="207"/>
      <c r="C37" s="207"/>
      <c r="D37" s="208"/>
      <c r="E37" s="26">
        <v>139976856.28</v>
      </c>
      <c r="F37" s="26">
        <v>138780472.89</v>
      </c>
      <c r="G37" s="26">
        <v>137584089.51</v>
      </c>
      <c r="H37" s="26">
        <v>136387706.12</v>
      </c>
      <c r="I37" s="26">
        <v>135191322.73</v>
      </c>
      <c r="J37" s="26">
        <v>133994939.35</v>
      </c>
      <c r="K37" s="26">
        <v>132798555.96</v>
      </c>
      <c r="L37" s="26">
        <v>131602172.57</v>
      </c>
      <c r="M37" s="26">
        <v>130405789.19</v>
      </c>
      <c r="N37" s="26">
        <v>129209405.8</v>
      </c>
      <c r="O37" s="26">
        <v>128013022.41</v>
      </c>
      <c r="P37" s="26">
        <v>126816639.02</v>
      </c>
      <c r="Q37" s="26">
        <v>125620255.64</v>
      </c>
    </row>
    <row r="38" spans="1:17" ht="12.75">
      <c r="A38" s="152" t="s">
        <v>185</v>
      </c>
      <c r="B38" s="207"/>
      <c r="C38" s="207"/>
      <c r="D38" s="208"/>
      <c r="E38" s="26">
        <v>32713649.42</v>
      </c>
      <c r="F38" s="26">
        <v>32603502.45</v>
      </c>
      <c r="G38" s="26">
        <v>32493355.48</v>
      </c>
      <c r="H38" s="26">
        <v>32383208.52</v>
      </c>
      <c r="I38" s="26">
        <v>32273061.55</v>
      </c>
      <c r="J38" s="26">
        <v>32162914.58</v>
      </c>
      <c r="K38" s="26">
        <v>32052767.61</v>
      </c>
      <c r="L38" s="26">
        <v>31942620.64</v>
      </c>
      <c r="M38" s="26">
        <v>31832473.68</v>
      </c>
      <c r="N38" s="26">
        <v>31722326.71</v>
      </c>
      <c r="O38" s="26">
        <v>31612179.74</v>
      </c>
      <c r="P38" s="26">
        <v>31502032.77</v>
      </c>
      <c r="Q38" s="26">
        <v>31391885.81</v>
      </c>
    </row>
    <row r="39" spans="1:17" ht="12.75">
      <c r="A39" s="152" t="s">
        <v>186</v>
      </c>
      <c r="B39" s="207"/>
      <c r="C39" s="207"/>
      <c r="D39" s="208"/>
      <c r="E39" s="8">
        <v>7687058.83</v>
      </c>
      <c r="F39" s="8">
        <v>7592156.87</v>
      </c>
      <c r="G39" s="8">
        <v>7497254.91</v>
      </c>
      <c r="H39" s="8">
        <v>7402352.94</v>
      </c>
      <c r="I39" s="8">
        <v>7307450.98</v>
      </c>
      <c r="J39" s="8">
        <v>7212549.02</v>
      </c>
      <c r="K39" s="8">
        <v>7117647.06</v>
      </c>
      <c r="L39" s="8">
        <v>7022745.1</v>
      </c>
      <c r="M39" s="8">
        <v>6927843.14</v>
      </c>
      <c r="N39" s="8">
        <v>6832941.18</v>
      </c>
      <c r="O39" s="8">
        <v>6738039.22</v>
      </c>
      <c r="P39" s="8">
        <v>6643137.26</v>
      </c>
      <c r="Q39" s="8">
        <v>6548235.3</v>
      </c>
    </row>
    <row r="40" spans="1:17" ht="12.75">
      <c r="A40" s="152" t="s">
        <v>187</v>
      </c>
      <c r="B40" s="207"/>
      <c r="C40" s="207"/>
      <c r="D40" s="208"/>
      <c r="E40" s="13">
        <v>2674588.24</v>
      </c>
      <c r="F40" s="13">
        <v>2641568.63</v>
      </c>
      <c r="G40" s="13">
        <v>2608549.02</v>
      </c>
      <c r="H40" s="8">
        <v>2575529.41</v>
      </c>
      <c r="I40" s="13">
        <v>2542509.81</v>
      </c>
      <c r="J40" s="13">
        <v>2509490.2</v>
      </c>
      <c r="K40" s="8">
        <v>2476470.59</v>
      </c>
      <c r="L40" s="13">
        <v>2443450.98</v>
      </c>
      <c r="M40" s="13">
        <v>2410431.38</v>
      </c>
      <c r="N40" s="8">
        <v>2377411.77</v>
      </c>
      <c r="O40" s="13">
        <v>2344392.16</v>
      </c>
      <c r="P40" s="13">
        <v>2311372.55</v>
      </c>
      <c r="Q40" s="8">
        <v>2278352.94</v>
      </c>
    </row>
    <row r="41" spans="1:17" ht="12.75">
      <c r="A41" s="152" t="s">
        <v>182</v>
      </c>
      <c r="B41" s="207"/>
      <c r="C41" s="207"/>
      <c r="D41" s="208"/>
      <c r="E41" s="13">
        <v>338235.3</v>
      </c>
      <c r="F41" s="20">
        <v>333333.34</v>
      </c>
      <c r="G41" s="20">
        <v>328431.38</v>
      </c>
      <c r="H41" s="20">
        <v>323529.41</v>
      </c>
      <c r="I41" s="20">
        <v>318627.45</v>
      </c>
      <c r="J41" s="20">
        <v>313725.49</v>
      </c>
      <c r="K41" s="20">
        <v>308823.53</v>
      </c>
      <c r="L41" s="20">
        <v>303921.57</v>
      </c>
      <c r="M41" s="20">
        <v>299019.61</v>
      </c>
      <c r="N41" s="20">
        <v>294117.65</v>
      </c>
      <c r="O41" s="20">
        <v>289215.69</v>
      </c>
      <c r="P41" s="20">
        <v>284313.73</v>
      </c>
      <c r="Q41" s="20">
        <v>279411.77</v>
      </c>
    </row>
    <row r="42" spans="1:17" ht="12.75">
      <c r="A42" s="152" t="s">
        <v>202</v>
      </c>
      <c r="B42" s="207"/>
      <c r="C42" s="207"/>
      <c r="D42" s="208"/>
      <c r="E42" s="8">
        <f aca="true" t="shared" si="2" ref="E42:Q42">E41+E40+E39+E38+E37+E36+E35+E34+E33+E32</f>
        <v>315414264.21999997</v>
      </c>
      <c r="F42" s="8">
        <f t="shared" si="2"/>
        <v>312720946.96</v>
      </c>
      <c r="G42" s="8">
        <f t="shared" si="2"/>
        <v>310027629.67999995</v>
      </c>
      <c r="H42" s="8">
        <f t="shared" si="2"/>
        <v>307334312.37</v>
      </c>
      <c r="I42" s="8">
        <f t="shared" si="2"/>
        <v>305640995.09</v>
      </c>
      <c r="J42" s="8">
        <f t="shared" si="2"/>
        <v>301947677.81</v>
      </c>
      <c r="K42" s="8">
        <f t="shared" si="2"/>
        <v>299254360.55</v>
      </c>
      <c r="L42" s="8">
        <f t="shared" si="2"/>
        <v>296561043.26</v>
      </c>
      <c r="M42" s="8">
        <f t="shared" si="2"/>
        <v>293867726.01</v>
      </c>
      <c r="N42" s="8">
        <f t="shared" si="2"/>
        <v>291174408.72</v>
      </c>
      <c r="O42" s="8">
        <f t="shared" si="2"/>
        <v>288537397.75</v>
      </c>
      <c r="P42" s="8">
        <f t="shared" si="2"/>
        <v>285900386.77</v>
      </c>
      <c r="Q42" s="8">
        <f t="shared" si="2"/>
        <v>283263375.82</v>
      </c>
    </row>
    <row r="43" spans="1:17" ht="13.5" thickBot="1">
      <c r="A43" s="249" t="s">
        <v>201</v>
      </c>
      <c r="B43" s="250"/>
      <c r="C43" s="250"/>
      <c r="D43" s="251"/>
      <c r="E43" s="14"/>
      <c r="F43" s="14"/>
      <c r="G43" s="14"/>
      <c r="H43" s="16">
        <f>(E42+F42+G42+H42)/4/100*2.2</f>
        <v>6850234.342765001</v>
      </c>
      <c r="I43" s="14"/>
      <c r="J43" s="14"/>
      <c r="K43" s="16">
        <f>(E42+F42+G42+H42+I42+J42+K42)/7/100*2.2</f>
        <v>6764497.7295657145</v>
      </c>
      <c r="L43" s="14"/>
      <c r="M43" s="14"/>
      <c r="N43" s="16">
        <f>(E42+F42+G42+H42+I42+J42+K42+L42+M42+N42)/10/100*2.2</f>
        <v>6674675.402274</v>
      </c>
      <c r="O43" s="14"/>
      <c r="P43" s="14"/>
      <c r="Q43" s="16">
        <f>(E42+F42+G42+H42+I42+J42+K42+L42+M42+N42+O42+P42+Q42)/13/100*2.2-H43-K43-N43</f>
        <v>-13703547.509203177</v>
      </c>
    </row>
    <row r="44" spans="1:17" ht="13.5" thickBot="1">
      <c r="A44" s="252" t="s">
        <v>189</v>
      </c>
      <c r="B44" s="253"/>
      <c r="C44" s="253"/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4"/>
    </row>
    <row r="45" spans="1:17" ht="12.75">
      <c r="A45" s="255" t="s">
        <v>199</v>
      </c>
      <c r="B45" s="256"/>
      <c r="C45" s="256"/>
      <c r="D45" s="257"/>
      <c r="E45" s="29">
        <v>45658</v>
      </c>
      <c r="F45" s="29">
        <v>45689</v>
      </c>
      <c r="G45" s="29">
        <v>45717</v>
      </c>
      <c r="H45" s="29">
        <v>45748</v>
      </c>
      <c r="I45" s="29">
        <v>45778</v>
      </c>
      <c r="J45" s="29">
        <v>45809</v>
      </c>
      <c r="K45" s="29">
        <v>45839</v>
      </c>
      <c r="L45" s="29">
        <v>45870</v>
      </c>
      <c r="M45" s="29">
        <v>45901</v>
      </c>
      <c r="N45" s="29">
        <v>45931</v>
      </c>
      <c r="O45" s="29">
        <v>45962</v>
      </c>
      <c r="P45" s="29">
        <v>45992</v>
      </c>
      <c r="Q45" s="29">
        <v>46023</v>
      </c>
    </row>
    <row r="46" spans="1:17" ht="12.75">
      <c r="A46" s="152" t="s">
        <v>178</v>
      </c>
      <c r="B46" s="207"/>
      <c r="C46" s="207"/>
      <c r="D46" s="208"/>
      <c r="E46" s="8">
        <v>79852400.2</v>
      </c>
      <c r="F46" s="27">
        <v>78993772.24</v>
      </c>
      <c r="G46" s="27">
        <v>78135144.28</v>
      </c>
      <c r="H46" s="27">
        <v>77276516.32</v>
      </c>
      <c r="I46" s="27">
        <v>76417888.36</v>
      </c>
      <c r="J46" s="27">
        <v>75559260.4</v>
      </c>
      <c r="K46" s="27">
        <v>74700632.44</v>
      </c>
      <c r="L46" s="27">
        <v>73842004.48</v>
      </c>
      <c r="M46" s="27">
        <v>72983376.52</v>
      </c>
      <c r="N46" s="27">
        <v>72124748.56</v>
      </c>
      <c r="O46" s="27">
        <v>71266120.6</v>
      </c>
      <c r="P46" s="27">
        <v>70407492.65</v>
      </c>
      <c r="Q46" s="27">
        <v>69548864.69</v>
      </c>
    </row>
    <row r="47" spans="1:17" ht="12.75">
      <c r="A47" s="152" t="s">
        <v>179</v>
      </c>
      <c r="B47" s="207"/>
      <c r="C47" s="207"/>
      <c r="D47" s="208"/>
      <c r="E47" s="27">
        <v>22709775.32</v>
      </c>
      <c r="F47" s="27">
        <v>22626589.33</v>
      </c>
      <c r="G47" s="27">
        <v>22543403.34</v>
      </c>
      <c r="H47" s="27">
        <v>22460217.35</v>
      </c>
      <c r="I47" s="27">
        <v>22377031.36</v>
      </c>
      <c r="J47" s="27">
        <v>22293845.37</v>
      </c>
      <c r="K47" s="27">
        <v>22210659.38</v>
      </c>
      <c r="L47" s="27">
        <v>22127473.39</v>
      </c>
      <c r="M47" s="27">
        <v>22044287.74</v>
      </c>
      <c r="N47" s="27">
        <v>21961101.41</v>
      </c>
      <c r="O47" s="27">
        <v>21877915.42</v>
      </c>
      <c r="P47" s="27">
        <v>21794729.43</v>
      </c>
      <c r="Q47" s="27">
        <v>21711543.44</v>
      </c>
    </row>
    <row r="48" spans="1:17" ht="12.75">
      <c r="A48" s="152" t="s">
        <v>180</v>
      </c>
      <c r="B48" s="207"/>
      <c r="C48" s="207"/>
      <c r="D48" s="208"/>
      <c r="E48" s="27">
        <v>10818823.54</v>
      </c>
      <c r="F48" s="26">
        <v>10629019.62</v>
      </c>
      <c r="G48" s="26">
        <v>10439215.7</v>
      </c>
      <c r="H48" s="26">
        <v>10249411.76</v>
      </c>
      <c r="I48" s="26">
        <v>10059607.84</v>
      </c>
      <c r="J48" s="26">
        <v>9869803.92</v>
      </c>
      <c r="K48" s="26">
        <v>9680000</v>
      </c>
      <c r="L48" s="26">
        <v>9490196.08</v>
      </c>
      <c r="M48" s="26">
        <v>9300392.16</v>
      </c>
      <c r="N48" s="26">
        <v>9110588.24</v>
      </c>
      <c r="O48" s="26">
        <v>8920784.32</v>
      </c>
      <c r="P48" s="26">
        <v>8730980.4</v>
      </c>
      <c r="Q48" s="26">
        <v>8541176.48</v>
      </c>
    </row>
    <row r="49" spans="1:17" ht="12.75">
      <c r="A49" s="152" t="s">
        <v>181</v>
      </c>
      <c r="B49" s="207"/>
      <c r="C49" s="207"/>
      <c r="D49" s="208"/>
      <c r="E49" s="27">
        <v>3764235.3</v>
      </c>
      <c r="F49" s="26">
        <v>3698196.08</v>
      </c>
      <c r="G49" s="26">
        <v>3632156.86</v>
      </c>
      <c r="H49" s="26">
        <v>3566117.66</v>
      </c>
      <c r="I49" s="26">
        <v>3500078.44</v>
      </c>
      <c r="J49" s="26">
        <v>3434039.22</v>
      </c>
      <c r="K49" s="26">
        <v>3368000</v>
      </c>
      <c r="L49" s="26">
        <v>3301960.78</v>
      </c>
      <c r="M49" s="26">
        <v>3235921.58</v>
      </c>
      <c r="N49" s="26">
        <v>3169882.36</v>
      </c>
      <c r="O49" s="26">
        <v>3103843.14</v>
      </c>
      <c r="P49" s="26">
        <v>3037803.92</v>
      </c>
      <c r="Q49" s="26">
        <v>2971764.7</v>
      </c>
    </row>
    <row r="50" spans="1:17" ht="12.75">
      <c r="A50" s="152" t="s">
        <v>184</v>
      </c>
      <c r="B50" s="207"/>
      <c r="C50" s="207"/>
      <c r="D50" s="208"/>
      <c r="E50" s="27">
        <v>125620255.64</v>
      </c>
      <c r="F50" s="27">
        <v>124423872.25</v>
      </c>
      <c r="G50" s="27">
        <v>123227488.86</v>
      </c>
      <c r="H50" s="27">
        <v>122031105.48</v>
      </c>
      <c r="I50" s="27">
        <v>120834722.09</v>
      </c>
      <c r="J50" s="27">
        <v>119638338.7</v>
      </c>
      <c r="K50" s="27">
        <v>118441955.32</v>
      </c>
      <c r="L50" s="27">
        <v>117245571.93</v>
      </c>
      <c r="M50" s="27">
        <v>116049188.54</v>
      </c>
      <c r="N50" s="27">
        <v>114852805.15</v>
      </c>
      <c r="O50" s="27">
        <v>113656421.77</v>
      </c>
      <c r="P50" s="27">
        <v>112460038.38</v>
      </c>
      <c r="Q50" s="27">
        <v>111263654.99</v>
      </c>
    </row>
    <row r="51" spans="1:17" ht="12.75">
      <c r="A51" s="152" t="s">
        <v>185</v>
      </c>
      <c r="B51" s="207"/>
      <c r="C51" s="207"/>
      <c r="D51" s="208"/>
      <c r="E51" s="27">
        <v>31391885.81</v>
      </c>
      <c r="F51" s="27">
        <v>31281738.84</v>
      </c>
      <c r="G51" s="27">
        <v>31171591.87</v>
      </c>
      <c r="H51" s="27">
        <v>31061444.9</v>
      </c>
      <c r="I51" s="27">
        <v>30951297.94</v>
      </c>
      <c r="J51" s="27">
        <v>30841150.97</v>
      </c>
      <c r="K51" s="27">
        <v>30731004</v>
      </c>
      <c r="L51" s="27">
        <v>30620857.03</v>
      </c>
      <c r="M51" s="27">
        <v>30510710.06</v>
      </c>
      <c r="N51" s="27">
        <v>30400563.1</v>
      </c>
      <c r="O51" s="27">
        <v>30290416.13</v>
      </c>
      <c r="P51" s="27">
        <v>30180269.16</v>
      </c>
      <c r="Q51" s="27">
        <v>30070122.19</v>
      </c>
    </row>
    <row r="52" spans="1:17" ht="12.75">
      <c r="A52" s="152" t="s">
        <v>186</v>
      </c>
      <c r="B52" s="207"/>
      <c r="C52" s="207"/>
      <c r="D52" s="208"/>
      <c r="E52" s="8">
        <v>6548235.3</v>
      </c>
      <c r="F52" s="8">
        <v>6453333.34</v>
      </c>
      <c r="G52" s="8">
        <v>6358431.38</v>
      </c>
      <c r="H52" s="8">
        <v>6263529.41</v>
      </c>
      <c r="I52" s="8">
        <v>6168627.45</v>
      </c>
      <c r="J52" s="8">
        <v>6073725.49</v>
      </c>
      <c r="K52" s="8">
        <v>5978823.53</v>
      </c>
      <c r="L52" s="8">
        <v>5883921.57</v>
      </c>
      <c r="M52" s="8">
        <v>5789019.61</v>
      </c>
      <c r="N52" s="8">
        <v>5694117.65</v>
      </c>
      <c r="O52" s="8">
        <v>5599215.69</v>
      </c>
      <c r="P52" s="8">
        <v>5504313.73</v>
      </c>
      <c r="Q52" s="8">
        <v>5409411.77</v>
      </c>
    </row>
    <row r="53" spans="1:17" ht="12.75">
      <c r="A53" s="152" t="s">
        <v>187</v>
      </c>
      <c r="B53" s="207"/>
      <c r="C53" s="207"/>
      <c r="D53" s="208"/>
      <c r="E53" s="8">
        <v>2278352.94</v>
      </c>
      <c r="F53" s="8">
        <v>2245333.34</v>
      </c>
      <c r="G53" s="8">
        <v>2212313.73</v>
      </c>
      <c r="H53" s="8">
        <v>2179294.12</v>
      </c>
      <c r="I53" s="8">
        <v>2146274.51</v>
      </c>
      <c r="J53" s="8">
        <v>2113254.9</v>
      </c>
      <c r="K53" s="8">
        <v>2080235.3</v>
      </c>
      <c r="L53" s="8">
        <v>2047215.69</v>
      </c>
      <c r="M53" s="27">
        <v>2014196.08</v>
      </c>
      <c r="N53" s="8">
        <v>1981176.47</v>
      </c>
      <c r="O53" s="8">
        <v>1948156.87</v>
      </c>
      <c r="P53" s="8">
        <v>1915137.26</v>
      </c>
      <c r="Q53" s="8">
        <v>1882117.65</v>
      </c>
    </row>
    <row r="54" spans="1:17" ht="12.75">
      <c r="A54" s="152" t="s">
        <v>182</v>
      </c>
      <c r="B54" s="207"/>
      <c r="C54" s="207"/>
      <c r="D54" s="208"/>
      <c r="E54" s="8">
        <v>279411.77</v>
      </c>
      <c r="F54" s="26">
        <v>274509.81</v>
      </c>
      <c r="G54" s="26">
        <v>269607.85</v>
      </c>
      <c r="H54" s="26">
        <v>264705.88</v>
      </c>
      <c r="I54" s="26">
        <v>259803.92</v>
      </c>
      <c r="J54" s="26">
        <v>254901.96</v>
      </c>
      <c r="K54" s="26">
        <v>250000</v>
      </c>
      <c r="L54" s="26">
        <v>245098.04</v>
      </c>
      <c r="M54" s="26">
        <v>240196.08</v>
      </c>
      <c r="N54" s="26">
        <v>235294.12</v>
      </c>
      <c r="O54" s="26">
        <v>230392.16</v>
      </c>
      <c r="P54" s="26">
        <v>225490.2</v>
      </c>
      <c r="Q54" s="26">
        <v>220588.24</v>
      </c>
    </row>
    <row r="55" spans="1:17" ht="12.75">
      <c r="A55" s="152" t="s">
        <v>202</v>
      </c>
      <c r="B55" s="207"/>
      <c r="C55" s="207"/>
      <c r="D55" s="208"/>
      <c r="E55" s="8">
        <f>E54+E53+E52+E51+E50+E49+E48+E47+E46</f>
        <v>283263375.82</v>
      </c>
      <c r="F55" s="8">
        <f>F54+F53+F52+F51+F50+F49+F48+F47+F46</f>
        <v>280626364.85</v>
      </c>
      <c r="G55" s="8">
        <f>G54+G53+G52+G51+G50+G49+G48+G47+G46</f>
        <v>277989353.87</v>
      </c>
      <c r="H55" s="8">
        <f>H54+H53+H52+H51+H50+H49+H48+H47+H46</f>
        <v>275352342.88</v>
      </c>
      <c r="I55" s="8">
        <f aca="true" t="shared" si="3" ref="I55:P55">I54+I53+I52+I51+I50+I49+I48+I47+I46</f>
        <v>272715331.91</v>
      </c>
      <c r="J55" s="8">
        <f t="shared" si="3"/>
        <v>270078320.93</v>
      </c>
      <c r="K55" s="8">
        <f t="shared" si="3"/>
        <v>267441309.96999997</v>
      </c>
      <c r="L55" s="8">
        <f t="shared" si="3"/>
        <v>264804298.99</v>
      </c>
      <c r="M55" s="8">
        <f t="shared" si="3"/>
        <v>262167288.37</v>
      </c>
      <c r="N55" s="8">
        <f t="shared" si="3"/>
        <v>259530277.06000003</v>
      </c>
      <c r="O55" s="8">
        <f t="shared" si="3"/>
        <v>256893266.1</v>
      </c>
      <c r="P55" s="8">
        <f t="shared" si="3"/>
        <v>254256255.13</v>
      </c>
      <c r="Q55" s="8">
        <f>Q54+Q53+Q52+Q51+Q50+Q49+Q48+Q47+Q46</f>
        <v>251619244.14999998</v>
      </c>
    </row>
    <row r="56" spans="1:17" ht="13.5" thickBot="1">
      <c r="A56" s="249" t="s">
        <v>201</v>
      </c>
      <c r="B56" s="250"/>
      <c r="C56" s="250"/>
      <c r="D56" s="251"/>
      <c r="E56" s="14"/>
      <c r="F56" s="14"/>
      <c r="G56" s="14"/>
      <c r="H56" s="16">
        <f>(E55+F55+G55+H55)/4/100*2.2</f>
        <v>6144772.905810001</v>
      </c>
      <c r="I56" s="14"/>
      <c r="J56" s="14"/>
      <c r="K56" s="16">
        <f>(E55+F55+G55+H55+I55+J55+K55)/7/100*2.2</f>
        <v>6057751.543580002</v>
      </c>
      <c r="L56" s="14"/>
      <c r="M56" s="14"/>
      <c r="N56" s="16">
        <f>(E55+F55+G55+H55+I55+J55+K55+L55+M55+N55)/10/100*2.2</f>
        <v>5970730.182230001</v>
      </c>
      <c r="O56" s="14"/>
      <c r="P56" s="14"/>
      <c r="Q56" s="16">
        <f>(E55+F55+G55+H55+I55+J55+K55+L55+M55+N55+O55+P55+Q55)/13/100*2.2-H56-K56-N56</f>
        <v>-12289545.811569234</v>
      </c>
    </row>
    <row r="57" spans="1:17" ht="13.5" thickBot="1">
      <c r="A57" s="252" t="s">
        <v>190</v>
      </c>
      <c r="B57" s="253"/>
      <c r="C57" s="253"/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4"/>
    </row>
    <row r="58" spans="1:17" ht="12.75">
      <c r="A58" s="255" t="s">
        <v>199</v>
      </c>
      <c r="B58" s="256"/>
      <c r="C58" s="256"/>
      <c r="D58" s="257"/>
      <c r="E58" s="29">
        <v>46023</v>
      </c>
      <c r="F58" s="29">
        <v>46054</v>
      </c>
      <c r="G58" s="29">
        <v>46082</v>
      </c>
      <c r="H58" s="29">
        <v>46113</v>
      </c>
      <c r="I58" s="29">
        <v>46143</v>
      </c>
      <c r="J58" s="29">
        <v>46174</v>
      </c>
      <c r="K58" s="29">
        <v>46204</v>
      </c>
      <c r="L58" s="29">
        <v>46235</v>
      </c>
      <c r="M58" s="29">
        <v>46266</v>
      </c>
      <c r="N58" s="29">
        <v>46296</v>
      </c>
      <c r="O58" s="29">
        <v>46327</v>
      </c>
      <c r="P58" s="29">
        <v>46357</v>
      </c>
      <c r="Q58" s="29">
        <v>46388</v>
      </c>
    </row>
    <row r="59" spans="1:17" ht="12.75">
      <c r="A59" s="152" t="s">
        <v>200</v>
      </c>
      <c r="B59" s="207"/>
      <c r="C59" s="207"/>
      <c r="D59" s="208"/>
      <c r="E59" s="13"/>
      <c r="F59" s="13"/>
      <c r="G59" s="13"/>
      <c r="H59" s="13"/>
      <c r="I59" s="13"/>
      <c r="J59" s="13"/>
      <c r="K59" s="13"/>
      <c r="L59" s="13"/>
      <c r="M59" s="8">
        <v>2083333.33</v>
      </c>
      <c r="N59" s="13">
        <v>2027027.02</v>
      </c>
      <c r="O59" s="8">
        <v>1970720.72</v>
      </c>
      <c r="P59" s="8">
        <v>1914414.41</v>
      </c>
      <c r="Q59" s="8">
        <v>1858108.11</v>
      </c>
    </row>
    <row r="60" spans="1:17" ht="12.75">
      <c r="A60" s="152" t="s">
        <v>178</v>
      </c>
      <c r="B60" s="207"/>
      <c r="C60" s="207"/>
      <c r="D60" s="208"/>
      <c r="E60" s="8">
        <v>69548864.69</v>
      </c>
      <c r="F60" s="27">
        <v>68690236.73</v>
      </c>
      <c r="G60" s="27">
        <v>67831608.77</v>
      </c>
      <c r="H60" s="27">
        <v>66972980.81</v>
      </c>
      <c r="I60" s="27">
        <v>66114352.85</v>
      </c>
      <c r="J60" s="27">
        <v>65255724.89</v>
      </c>
      <c r="K60" s="27">
        <v>64397096.93</v>
      </c>
      <c r="L60" s="27">
        <v>63538468.97</v>
      </c>
      <c r="M60" s="27">
        <v>62679841.01</v>
      </c>
      <c r="N60" s="27">
        <v>61821213.05</v>
      </c>
      <c r="O60" s="27">
        <v>60962585.1</v>
      </c>
      <c r="P60" s="27">
        <v>60103957.14</v>
      </c>
      <c r="Q60" s="27">
        <v>59245329.18</v>
      </c>
    </row>
    <row r="61" spans="1:17" ht="12.75">
      <c r="A61" s="152" t="s">
        <v>179</v>
      </c>
      <c r="B61" s="207"/>
      <c r="C61" s="207"/>
      <c r="D61" s="208"/>
      <c r="E61" s="27">
        <v>21711543.44</v>
      </c>
      <c r="F61" s="27">
        <v>21628357.45</v>
      </c>
      <c r="G61" s="27">
        <v>21545171.46</v>
      </c>
      <c r="H61" s="27">
        <v>21461985.47</v>
      </c>
      <c r="I61" s="27">
        <v>21378799.48</v>
      </c>
      <c r="J61" s="27">
        <v>21295613.49</v>
      </c>
      <c r="K61" s="27">
        <v>21212427.5</v>
      </c>
      <c r="L61" s="27">
        <v>21129241.51</v>
      </c>
      <c r="M61" s="27">
        <v>21046055.52</v>
      </c>
      <c r="N61" s="27">
        <v>20962869.53</v>
      </c>
      <c r="O61" s="27">
        <v>20879683.54</v>
      </c>
      <c r="P61" s="27">
        <v>20796497.55</v>
      </c>
      <c r="Q61" s="27">
        <v>20713311.56</v>
      </c>
    </row>
    <row r="62" spans="1:17" ht="12.75">
      <c r="A62" s="152" t="s">
        <v>180</v>
      </c>
      <c r="B62" s="207"/>
      <c r="C62" s="207"/>
      <c r="D62" s="208"/>
      <c r="E62" s="27">
        <v>8541176.48</v>
      </c>
      <c r="F62" s="26">
        <v>8351372.56</v>
      </c>
      <c r="G62" s="26">
        <v>8161568.64</v>
      </c>
      <c r="H62" s="26">
        <v>7971764.7</v>
      </c>
      <c r="I62" s="26">
        <v>7781960.78</v>
      </c>
      <c r="J62" s="26">
        <v>7592156.86</v>
      </c>
      <c r="K62" s="26">
        <v>7402352.94</v>
      </c>
      <c r="L62" s="26">
        <v>7212549.02</v>
      </c>
      <c r="M62" s="26">
        <v>7022745.1</v>
      </c>
      <c r="N62" s="26">
        <v>6832941.18</v>
      </c>
      <c r="O62" s="26">
        <v>6643137.26</v>
      </c>
      <c r="P62" s="26">
        <v>6453333.34</v>
      </c>
      <c r="Q62" s="26">
        <v>6263529.42</v>
      </c>
    </row>
    <row r="63" spans="1:17" ht="12.75">
      <c r="A63" s="152" t="s">
        <v>181</v>
      </c>
      <c r="B63" s="207"/>
      <c r="C63" s="207"/>
      <c r="D63" s="208"/>
      <c r="E63" s="27">
        <v>2971764.47</v>
      </c>
      <c r="F63" s="26">
        <v>2905725.5</v>
      </c>
      <c r="G63" s="26">
        <v>2839686.28</v>
      </c>
      <c r="H63" s="26">
        <v>2773647.06</v>
      </c>
      <c r="I63" s="26">
        <v>2707607.84</v>
      </c>
      <c r="J63" s="26">
        <v>2641568.64</v>
      </c>
      <c r="K63" s="26">
        <v>2575529.42</v>
      </c>
      <c r="L63" s="26">
        <v>2509490.2</v>
      </c>
      <c r="M63" s="26">
        <v>2443450.98</v>
      </c>
      <c r="N63" s="26">
        <v>2377411.76</v>
      </c>
      <c r="O63" s="26">
        <v>2311372.56</v>
      </c>
      <c r="P63" s="26">
        <v>2245333.34</v>
      </c>
      <c r="Q63" s="26">
        <v>2179294.12</v>
      </c>
    </row>
    <row r="64" spans="1:17" ht="12.75">
      <c r="A64" s="152" t="s">
        <v>184</v>
      </c>
      <c r="B64" s="207"/>
      <c r="C64" s="207"/>
      <c r="D64" s="208"/>
      <c r="E64" s="27">
        <v>111263654.99</v>
      </c>
      <c r="F64" s="27">
        <v>110067271.61</v>
      </c>
      <c r="G64" s="27">
        <v>108870888.22</v>
      </c>
      <c r="H64" s="27">
        <v>107674504.83</v>
      </c>
      <c r="I64" s="27">
        <v>106478121.45</v>
      </c>
      <c r="J64" s="27">
        <v>105281738.06</v>
      </c>
      <c r="K64" s="27">
        <v>104085354.67</v>
      </c>
      <c r="L64" s="27">
        <v>102888971.28</v>
      </c>
      <c r="M64" s="27">
        <v>101692587.9</v>
      </c>
      <c r="N64" s="27">
        <v>100496204.51</v>
      </c>
      <c r="O64" s="27">
        <v>99299821.12</v>
      </c>
      <c r="P64" s="27">
        <v>98103437.74</v>
      </c>
      <c r="Q64" s="27">
        <v>96907054.35</v>
      </c>
    </row>
    <row r="65" spans="1:17" ht="12.75">
      <c r="A65" s="152" t="s">
        <v>185</v>
      </c>
      <c r="B65" s="207"/>
      <c r="C65" s="207"/>
      <c r="D65" s="208"/>
      <c r="E65" s="27">
        <v>30070122.19</v>
      </c>
      <c r="F65" s="27">
        <v>29959975.23</v>
      </c>
      <c r="G65" s="27">
        <v>29849828.26</v>
      </c>
      <c r="H65" s="27">
        <v>29739681.29</v>
      </c>
      <c r="I65" s="27">
        <v>29629534.32</v>
      </c>
      <c r="J65" s="27">
        <v>29519387.35</v>
      </c>
      <c r="K65" s="27">
        <v>29409240.39</v>
      </c>
      <c r="L65" s="27">
        <v>29299093.42</v>
      </c>
      <c r="M65" s="27">
        <v>29188946.45</v>
      </c>
      <c r="N65" s="27">
        <v>29078799.48</v>
      </c>
      <c r="O65" s="27">
        <v>28968652.52</v>
      </c>
      <c r="P65" s="27">
        <v>28858505.55</v>
      </c>
      <c r="Q65" s="27">
        <v>28748358.58</v>
      </c>
    </row>
    <row r="66" spans="1:17" ht="12.75">
      <c r="A66" s="152" t="s">
        <v>186</v>
      </c>
      <c r="B66" s="207"/>
      <c r="C66" s="207"/>
      <c r="D66" s="208"/>
      <c r="E66" s="8">
        <v>5409411.77</v>
      </c>
      <c r="F66" s="8">
        <v>5314509.81</v>
      </c>
      <c r="G66" s="8">
        <v>5219607.85</v>
      </c>
      <c r="H66" s="8">
        <v>5124705.88</v>
      </c>
      <c r="I66" s="8">
        <v>5029803.92</v>
      </c>
      <c r="J66" s="8">
        <v>4934901.96</v>
      </c>
      <c r="K66" s="8">
        <v>4840000</v>
      </c>
      <c r="L66" s="8">
        <v>4745098.04</v>
      </c>
      <c r="M66" s="8">
        <v>4650196.08</v>
      </c>
      <c r="N66" s="8">
        <v>4555294.12</v>
      </c>
      <c r="O66" s="8">
        <v>4460392.16</v>
      </c>
      <c r="P66" s="8">
        <v>4365490.2</v>
      </c>
      <c r="Q66" s="8">
        <v>4270588.24</v>
      </c>
    </row>
    <row r="67" spans="1:17" ht="12.75">
      <c r="A67" s="152" t="s">
        <v>187</v>
      </c>
      <c r="B67" s="207"/>
      <c r="C67" s="207"/>
      <c r="D67" s="208"/>
      <c r="E67" s="8">
        <v>1882117.65</v>
      </c>
      <c r="F67" s="8">
        <v>1849098.04</v>
      </c>
      <c r="G67" s="8">
        <v>1816078.43</v>
      </c>
      <c r="H67" s="8">
        <v>1783058.83</v>
      </c>
      <c r="I67" s="8">
        <v>1750039.22</v>
      </c>
      <c r="J67" s="8">
        <v>1717019.61</v>
      </c>
      <c r="K67" s="8">
        <v>1684000</v>
      </c>
      <c r="L67" s="8">
        <v>1650980.39</v>
      </c>
      <c r="M67" s="27">
        <v>1617960.79</v>
      </c>
      <c r="N67" s="8">
        <v>1584941.18</v>
      </c>
      <c r="O67" s="8">
        <v>1551921.57</v>
      </c>
      <c r="P67" s="8">
        <v>1518901.96</v>
      </c>
      <c r="Q67" s="8">
        <v>1485882.35</v>
      </c>
    </row>
    <row r="68" spans="1:17" ht="12.75">
      <c r="A68" s="152" t="s">
        <v>182</v>
      </c>
      <c r="B68" s="207"/>
      <c r="C68" s="207"/>
      <c r="D68" s="208"/>
      <c r="E68" s="8">
        <v>220588.24</v>
      </c>
      <c r="F68" s="26">
        <v>215686.28</v>
      </c>
      <c r="G68" s="26">
        <v>210784.32</v>
      </c>
      <c r="H68" s="26">
        <v>205882.35</v>
      </c>
      <c r="I68" s="26">
        <v>200980.39</v>
      </c>
      <c r="J68" s="26">
        <v>196078.43</v>
      </c>
      <c r="K68" s="26">
        <v>191176.47</v>
      </c>
      <c r="L68" s="26">
        <v>186274.51</v>
      </c>
      <c r="M68" s="26">
        <v>181372.55</v>
      </c>
      <c r="N68" s="26">
        <v>176470.59</v>
      </c>
      <c r="O68" s="26">
        <v>171568.63</v>
      </c>
      <c r="P68" s="26">
        <v>166666.67</v>
      </c>
      <c r="Q68" s="26">
        <v>161764.71</v>
      </c>
    </row>
    <row r="69" spans="1:17" ht="12.75">
      <c r="A69" s="152" t="s">
        <v>202</v>
      </c>
      <c r="B69" s="207"/>
      <c r="C69" s="207"/>
      <c r="D69" s="208"/>
      <c r="E69" s="8">
        <f aca="true" t="shared" si="4" ref="E69:Q69">E68+E67+E66+E65+E64+E63+E62+E61+E60+E59</f>
        <v>251619243.92</v>
      </c>
      <c r="F69" s="8">
        <f t="shared" si="4"/>
        <v>248982233.20999998</v>
      </c>
      <c r="G69" s="8">
        <f t="shared" si="4"/>
        <v>246345222.22999996</v>
      </c>
      <c r="H69" s="8">
        <f t="shared" si="4"/>
        <v>243708211.22</v>
      </c>
      <c r="I69" s="8">
        <f t="shared" si="4"/>
        <v>241071200.25</v>
      </c>
      <c r="J69" s="8">
        <f t="shared" si="4"/>
        <v>238434189.29000002</v>
      </c>
      <c r="K69" s="8">
        <f t="shared" si="4"/>
        <v>235797178.32</v>
      </c>
      <c r="L69" s="8">
        <f t="shared" si="4"/>
        <v>233160167.33999997</v>
      </c>
      <c r="M69" s="8">
        <f t="shared" si="4"/>
        <v>232606489.71</v>
      </c>
      <c r="N69" s="8">
        <f t="shared" si="4"/>
        <v>229913172.42</v>
      </c>
      <c r="O69" s="8">
        <f t="shared" si="4"/>
        <v>227219855.17999998</v>
      </c>
      <c r="P69" s="8">
        <f t="shared" si="4"/>
        <v>224526537.9</v>
      </c>
      <c r="Q69" s="8">
        <f t="shared" si="4"/>
        <v>221833220.62</v>
      </c>
    </row>
    <row r="70" spans="1:17" ht="13.5" thickBot="1">
      <c r="A70" s="249" t="s">
        <v>201</v>
      </c>
      <c r="B70" s="250"/>
      <c r="C70" s="250"/>
      <c r="D70" s="251"/>
      <c r="E70" s="14"/>
      <c r="F70" s="14"/>
      <c r="G70" s="14"/>
      <c r="H70" s="16">
        <f>(E69+F69+G69+H69)/4/100*2.2</f>
        <v>5448602.0081899995</v>
      </c>
      <c r="I70" s="14"/>
      <c r="J70" s="14"/>
      <c r="K70" s="16">
        <f>(E69+F69+G69+H69+I69+J69+K69)/7/100*2.2</f>
        <v>5361580.646525714</v>
      </c>
      <c r="L70" s="14"/>
      <c r="M70" s="14"/>
      <c r="N70" s="16">
        <f>(E69+F69+G69+H69+I69+J69+K69+L69+M69+N69)/10/100*2.2</f>
        <v>5283602.077402</v>
      </c>
      <c r="O70" s="14"/>
      <c r="P70" s="14"/>
      <c r="Q70" s="16">
        <f>(E69+F69+G69+H69+I69+J69+K69+L69+M69+N69+O69+P69+Q69)/13/100*2.2-H70-K70-N70</f>
        <v>-10889571.48016233</v>
      </c>
    </row>
    <row r="71" spans="1:17" ht="13.5" thickBot="1">
      <c r="A71" s="252" t="s">
        <v>191</v>
      </c>
      <c r="B71" s="253"/>
      <c r="C71" s="253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53"/>
      <c r="O71" s="253"/>
      <c r="P71" s="253"/>
      <c r="Q71" s="254"/>
    </row>
    <row r="72" spans="1:17" ht="12.75">
      <c r="A72" s="255" t="s">
        <v>199</v>
      </c>
      <c r="B72" s="256"/>
      <c r="C72" s="256"/>
      <c r="D72" s="257"/>
      <c r="E72" s="29">
        <v>46388</v>
      </c>
      <c r="F72" s="29">
        <v>46419</v>
      </c>
      <c r="G72" s="29">
        <v>46447</v>
      </c>
      <c r="H72" s="29">
        <v>46478</v>
      </c>
      <c r="I72" s="29">
        <v>46508</v>
      </c>
      <c r="J72" s="29">
        <v>46539</v>
      </c>
      <c r="K72" s="29">
        <v>46569</v>
      </c>
      <c r="L72" s="29">
        <v>46600</v>
      </c>
      <c r="M72" s="29">
        <v>46631</v>
      </c>
      <c r="N72" s="29">
        <v>46661</v>
      </c>
      <c r="O72" s="29">
        <v>46692</v>
      </c>
      <c r="P72" s="29">
        <v>46722</v>
      </c>
      <c r="Q72" s="29">
        <v>46753</v>
      </c>
    </row>
    <row r="73" spans="1:17" ht="12.75">
      <c r="A73" s="152" t="s">
        <v>200</v>
      </c>
      <c r="B73" s="207"/>
      <c r="C73" s="207"/>
      <c r="D73" s="208"/>
      <c r="E73" s="13">
        <v>1858108.11</v>
      </c>
      <c r="F73" s="13">
        <v>1801801.8</v>
      </c>
      <c r="G73" s="13">
        <v>1745495.49</v>
      </c>
      <c r="H73" s="13">
        <v>1689189.19</v>
      </c>
      <c r="I73" s="13">
        <v>1632882.88</v>
      </c>
      <c r="J73" s="13">
        <v>1576576.57</v>
      </c>
      <c r="K73" s="13">
        <v>1520270.27</v>
      </c>
      <c r="L73" s="13">
        <v>1463963.96</v>
      </c>
      <c r="M73" s="25">
        <v>1407657.66</v>
      </c>
      <c r="N73" s="13">
        <v>1351351.35</v>
      </c>
      <c r="O73" s="8">
        <v>1295045.04</v>
      </c>
      <c r="P73" s="8">
        <v>1238738.74</v>
      </c>
      <c r="Q73" s="8">
        <v>1182432.43</v>
      </c>
    </row>
    <row r="74" spans="1:17" ht="12.75">
      <c r="A74" s="152" t="s">
        <v>178</v>
      </c>
      <c r="B74" s="207"/>
      <c r="C74" s="207"/>
      <c r="D74" s="208"/>
      <c r="E74" s="13">
        <v>59245329.18</v>
      </c>
      <c r="F74" s="27">
        <v>58386701.22</v>
      </c>
      <c r="G74" s="27">
        <v>57528073.26</v>
      </c>
      <c r="H74" s="27">
        <v>56669445.3</v>
      </c>
      <c r="I74" s="27">
        <v>55810817.34</v>
      </c>
      <c r="J74" s="27">
        <v>54952189.38</v>
      </c>
      <c r="K74" s="27">
        <v>54093561.42</v>
      </c>
      <c r="L74" s="27">
        <v>53234933.46</v>
      </c>
      <c r="M74" s="27">
        <v>52376305.5</v>
      </c>
      <c r="N74" s="27">
        <v>51517677.55</v>
      </c>
      <c r="O74" s="27">
        <v>50659049.59</v>
      </c>
      <c r="P74" s="27">
        <v>49800421.63</v>
      </c>
      <c r="Q74" s="27">
        <v>48941793.67</v>
      </c>
    </row>
    <row r="75" spans="1:17" ht="12.75">
      <c r="A75" s="152" t="s">
        <v>179</v>
      </c>
      <c r="B75" s="207"/>
      <c r="C75" s="207"/>
      <c r="D75" s="208"/>
      <c r="E75" s="28">
        <v>20713311.56</v>
      </c>
      <c r="F75" s="28">
        <v>20630125.57</v>
      </c>
      <c r="G75" s="28">
        <v>20546939.58</v>
      </c>
      <c r="H75" s="28">
        <v>20463753.59</v>
      </c>
      <c r="I75" s="28">
        <v>20380567.6</v>
      </c>
      <c r="J75" s="28">
        <v>20297381.61</v>
      </c>
      <c r="K75" s="28">
        <v>20214195.62</v>
      </c>
      <c r="L75" s="28">
        <v>20131009.63</v>
      </c>
      <c r="M75" s="28">
        <v>20047823.64</v>
      </c>
      <c r="N75" s="28">
        <v>19964637.65</v>
      </c>
      <c r="O75" s="28">
        <v>19881451.66</v>
      </c>
      <c r="P75" s="28">
        <v>19798265.67</v>
      </c>
      <c r="Q75" s="28">
        <v>19715079.68</v>
      </c>
    </row>
    <row r="76" spans="1:17" ht="12.75">
      <c r="A76" s="152" t="s">
        <v>180</v>
      </c>
      <c r="B76" s="207"/>
      <c r="C76" s="207"/>
      <c r="D76" s="208"/>
      <c r="E76" s="27">
        <v>6263529.42</v>
      </c>
      <c r="F76" s="26">
        <v>6073725.5</v>
      </c>
      <c r="G76" s="26">
        <v>5883921.58</v>
      </c>
      <c r="H76" s="26">
        <v>5694117.64</v>
      </c>
      <c r="I76" s="26">
        <v>5504313.72</v>
      </c>
      <c r="J76" s="26">
        <v>5314509.8</v>
      </c>
      <c r="K76" s="26">
        <v>5124705.88</v>
      </c>
      <c r="L76" s="26">
        <v>4934901.96</v>
      </c>
      <c r="M76" s="26">
        <v>16133333.34</v>
      </c>
      <c r="N76" s="26">
        <v>15943529.42</v>
      </c>
      <c r="O76" s="26">
        <v>15753725.5</v>
      </c>
      <c r="P76" s="26">
        <v>15563921.58</v>
      </c>
      <c r="Q76" s="26">
        <v>15374117.66</v>
      </c>
    </row>
    <row r="77" spans="1:17" ht="12.75">
      <c r="A77" s="152" t="s">
        <v>181</v>
      </c>
      <c r="B77" s="207"/>
      <c r="C77" s="207"/>
      <c r="D77" s="208"/>
      <c r="E77" s="27">
        <v>2179294.12</v>
      </c>
      <c r="F77" s="26">
        <v>2113254.9</v>
      </c>
      <c r="G77" s="26">
        <v>2047215.68</v>
      </c>
      <c r="H77" s="26">
        <v>1981116.48</v>
      </c>
      <c r="I77" s="26">
        <v>1915137.26</v>
      </c>
      <c r="J77" s="26">
        <v>1849098.04</v>
      </c>
      <c r="K77" s="26">
        <v>1783058.82</v>
      </c>
      <c r="L77" s="26">
        <v>1717019.6</v>
      </c>
      <c r="M77" s="26">
        <v>1650980.4</v>
      </c>
      <c r="N77" s="26">
        <v>1584941.18</v>
      </c>
      <c r="O77" s="26">
        <v>1518901.96</v>
      </c>
      <c r="P77" s="26">
        <v>1452862.74</v>
      </c>
      <c r="Q77" s="26">
        <v>1386823.54</v>
      </c>
    </row>
    <row r="78" spans="1:17" ht="12.75">
      <c r="A78" s="152" t="s">
        <v>184</v>
      </c>
      <c r="B78" s="207"/>
      <c r="C78" s="207"/>
      <c r="D78" s="208"/>
      <c r="E78" s="27">
        <v>96907054.35</v>
      </c>
      <c r="F78" s="27">
        <v>95710670.96</v>
      </c>
      <c r="G78" s="27">
        <v>94514287.57</v>
      </c>
      <c r="H78" s="27">
        <v>93317904.19</v>
      </c>
      <c r="I78" s="27">
        <v>92121520.8</v>
      </c>
      <c r="J78" s="27">
        <v>90925137.41</v>
      </c>
      <c r="K78" s="27">
        <v>89728754.03</v>
      </c>
      <c r="L78" s="27">
        <v>88532370.64</v>
      </c>
      <c r="M78" s="27">
        <v>87335987.25</v>
      </c>
      <c r="N78" s="27">
        <v>86139603.87</v>
      </c>
      <c r="O78" s="27">
        <v>84943220.48</v>
      </c>
      <c r="P78" s="27">
        <v>83746837.09</v>
      </c>
      <c r="Q78" s="27">
        <v>82550453.7</v>
      </c>
    </row>
    <row r="79" spans="1:17" ht="12.75">
      <c r="A79" s="152" t="s">
        <v>185</v>
      </c>
      <c r="B79" s="207"/>
      <c r="C79" s="207"/>
      <c r="D79" s="208"/>
      <c r="E79" s="27">
        <v>28748358.58</v>
      </c>
      <c r="F79" s="27">
        <v>28638211.61</v>
      </c>
      <c r="G79" s="27">
        <v>28528064.64</v>
      </c>
      <c r="H79" s="27">
        <v>28417917.68</v>
      </c>
      <c r="I79" s="27">
        <v>28307770.71</v>
      </c>
      <c r="J79" s="27">
        <v>28197623.74</v>
      </c>
      <c r="K79" s="27">
        <v>28087476.77</v>
      </c>
      <c r="L79" s="27">
        <v>27977329.81</v>
      </c>
      <c r="M79" s="27">
        <v>27867182.84</v>
      </c>
      <c r="N79" s="27">
        <v>27757035.87</v>
      </c>
      <c r="O79" s="27">
        <v>27646888.9</v>
      </c>
      <c r="P79" s="27">
        <v>27536741.94</v>
      </c>
      <c r="Q79" s="27">
        <v>27426594.97</v>
      </c>
    </row>
    <row r="80" spans="1:17" ht="12.75">
      <c r="A80" s="152" t="s">
        <v>186</v>
      </c>
      <c r="B80" s="207"/>
      <c r="C80" s="207"/>
      <c r="D80" s="208"/>
      <c r="E80" s="8">
        <v>4270588.24</v>
      </c>
      <c r="F80" s="8">
        <v>4175686.28</v>
      </c>
      <c r="G80" s="8">
        <v>4080784.32</v>
      </c>
      <c r="H80" s="8">
        <v>3985882.35</v>
      </c>
      <c r="I80" s="8">
        <v>3890890.39</v>
      </c>
      <c r="J80" s="8">
        <v>3796078.43</v>
      </c>
      <c r="K80" s="8">
        <v>3701176.47</v>
      </c>
      <c r="L80" s="8">
        <v>3606274.51</v>
      </c>
      <c r="M80" s="8">
        <v>3511372.55</v>
      </c>
      <c r="N80" s="8">
        <v>3416470.59</v>
      </c>
      <c r="O80" s="8">
        <v>3321568.63</v>
      </c>
      <c r="P80" s="8">
        <v>3226666.67</v>
      </c>
      <c r="Q80" s="8">
        <v>3131764.71</v>
      </c>
    </row>
    <row r="81" spans="1:17" ht="12.75">
      <c r="A81" s="152" t="s">
        <v>187</v>
      </c>
      <c r="B81" s="207"/>
      <c r="C81" s="207"/>
      <c r="D81" s="208"/>
      <c r="E81" s="8">
        <v>1485882.35</v>
      </c>
      <c r="F81" s="8">
        <v>1452862.75</v>
      </c>
      <c r="G81" s="8">
        <v>1419843.14</v>
      </c>
      <c r="H81" s="8">
        <v>1386823.53</v>
      </c>
      <c r="I81" s="8">
        <v>1353803.92</v>
      </c>
      <c r="J81" s="8">
        <v>1320784.32</v>
      </c>
      <c r="K81" s="8">
        <v>1287764.71</v>
      </c>
      <c r="L81" s="8">
        <v>1254745.1</v>
      </c>
      <c r="M81" s="27">
        <v>1221725.49</v>
      </c>
      <c r="N81" s="8">
        <v>1188705.88</v>
      </c>
      <c r="O81" s="8">
        <v>1155686.28</v>
      </c>
      <c r="P81" s="8">
        <v>1122666.67</v>
      </c>
      <c r="Q81" s="8">
        <v>1089647.06</v>
      </c>
    </row>
    <row r="82" spans="1:17" ht="12.75">
      <c r="A82" s="152" t="s">
        <v>182</v>
      </c>
      <c r="B82" s="207"/>
      <c r="C82" s="207"/>
      <c r="D82" s="208"/>
      <c r="E82" s="8">
        <v>161764.71</v>
      </c>
      <c r="F82" s="26">
        <v>156862.75</v>
      </c>
      <c r="G82" s="26">
        <v>151960.79</v>
      </c>
      <c r="H82" s="26">
        <v>147058.82</v>
      </c>
      <c r="I82" s="26">
        <v>142156.86</v>
      </c>
      <c r="J82" s="26">
        <v>137254.9</v>
      </c>
      <c r="K82" s="26">
        <v>132352.94</v>
      </c>
      <c r="L82" s="26">
        <v>127450.98</v>
      </c>
      <c r="M82" s="26">
        <v>122549.02</v>
      </c>
      <c r="N82" s="26">
        <v>117647.06</v>
      </c>
      <c r="O82" s="26">
        <v>112745.1</v>
      </c>
      <c r="P82" s="26">
        <v>107843.14</v>
      </c>
      <c r="Q82" s="26">
        <v>102941.18</v>
      </c>
    </row>
    <row r="83" spans="1:17" ht="12.75">
      <c r="A83" s="152" t="s">
        <v>202</v>
      </c>
      <c r="B83" s="207"/>
      <c r="C83" s="207"/>
      <c r="D83" s="208"/>
      <c r="E83" s="8">
        <f aca="true" t="shared" si="5" ref="E83:Q83">E82+E81+E80+E79+E78+E77+E76+E75+E74+E73</f>
        <v>221833220.62</v>
      </c>
      <c r="F83" s="8">
        <f t="shared" si="5"/>
        <v>219139903.34</v>
      </c>
      <c r="G83" s="8">
        <f t="shared" si="5"/>
        <v>216446586.05</v>
      </c>
      <c r="H83" s="8">
        <f t="shared" si="5"/>
        <v>213753208.76999998</v>
      </c>
      <c r="I83" s="8">
        <f t="shared" si="5"/>
        <v>211059861.48000002</v>
      </c>
      <c r="J83" s="8">
        <f t="shared" si="5"/>
        <v>208366634.2</v>
      </c>
      <c r="K83" s="8">
        <f t="shared" si="5"/>
        <v>205673316.92999998</v>
      </c>
      <c r="L83" s="8">
        <f t="shared" si="5"/>
        <v>202979999.65</v>
      </c>
      <c r="M83" s="8">
        <f t="shared" si="5"/>
        <v>211674917.69000003</v>
      </c>
      <c r="N83" s="8">
        <f t="shared" si="5"/>
        <v>208981600.42</v>
      </c>
      <c r="O83" s="8">
        <f t="shared" si="5"/>
        <v>206288283.14</v>
      </c>
      <c r="P83" s="8">
        <f t="shared" si="5"/>
        <v>203594965.87</v>
      </c>
      <c r="Q83" s="8">
        <f t="shared" si="5"/>
        <v>200901648.60000002</v>
      </c>
    </row>
    <row r="84" spans="1:17" ht="13.5" thickBot="1">
      <c r="A84" s="249" t="s">
        <v>201</v>
      </c>
      <c r="B84" s="250"/>
      <c r="C84" s="250"/>
      <c r="D84" s="251"/>
      <c r="E84" s="14"/>
      <c r="F84" s="14"/>
      <c r="G84" s="14"/>
      <c r="H84" s="16">
        <f>(E83+F83+G83+H83)/4/100*2.2</f>
        <v>4791451.05329</v>
      </c>
      <c r="I84" s="14"/>
      <c r="J84" s="14"/>
      <c r="K84" s="16">
        <f>(E83+F83+G83+H83+I83+J83+K83)/7/100*2.2</f>
        <v>4702571.441511429</v>
      </c>
      <c r="L84" s="14"/>
      <c r="M84" s="14"/>
      <c r="N84" s="16">
        <f>(E83+F83+G83+H83+I83+J83+K83+L83+M83+N83)/10/100*2.2</f>
        <v>4663800.348130001</v>
      </c>
      <c r="O84" s="14"/>
      <c r="P84" s="14"/>
      <c r="Q84" s="16">
        <f>(E83+F83+G83+H83+I83+J83+K83+L83+M83+N83+O83+P83+Q83)/13/100*2.2-H84-K84-N84</f>
        <v>-9536648.133029891</v>
      </c>
    </row>
    <row r="85" spans="1:17" ht="13.5" thickBot="1">
      <c r="A85" s="252" t="s">
        <v>192</v>
      </c>
      <c r="B85" s="253"/>
      <c r="C85" s="253"/>
      <c r="D85" s="253"/>
      <c r="E85" s="253"/>
      <c r="F85" s="253"/>
      <c r="G85" s="253"/>
      <c r="H85" s="253"/>
      <c r="I85" s="253"/>
      <c r="J85" s="253"/>
      <c r="K85" s="253"/>
      <c r="L85" s="253"/>
      <c r="M85" s="253"/>
      <c r="N85" s="253"/>
      <c r="O85" s="253"/>
      <c r="P85" s="253"/>
      <c r="Q85" s="254"/>
    </row>
    <row r="86" spans="1:17" ht="12.75">
      <c r="A86" s="255" t="s">
        <v>199</v>
      </c>
      <c r="B86" s="256"/>
      <c r="C86" s="256"/>
      <c r="D86" s="257"/>
      <c r="E86" s="29">
        <v>46753</v>
      </c>
      <c r="F86" s="29">
        <v>46784</v>
      </c>
      <c r="G86" s="29">
        <v>46813</v>
      </c>
      <c r="H86" s="29">
        <v>46844</v>
      </c>
      <c r="I86" s="29">
        <v>46874</v>
      </c>
      <c r="J86" s="29">
        <v>46905</v>
      </c>
      <c r="K86" s="29">
        <v>46935</v>
      </c>
      <c r="L86" s="29">
        <v>46966</v>
      </c>
      <c r="M86" s="29">
        <v>46997</v>
      </c>
      <c r="N86" s="29">
        <v>47027</v>
      </c>
      <c r="O86" s="29">
        <v>47058</v>
      </c>
      <c r="P86" s="29">
        <v>47088</v>
      </c>
      <c r="Q86" s="29">
        <v>47119</v>
      </c>
    </row>
    <row r="87" spans="1:17" ht="12.75">
      <c r="A87" s="152" t="s">
        <v>200</v>
      </c>
      <c r="B87" s="207"/>
      <c r="C87" s="207"/>
      <c r="D87" s="208"/>
      <c r="E87" s="26">
        <v>1182432.43</v>
      </c>
      <c r="F87" s="26">
        <v>1126126.12</v>
      </c>
      <c r="G87" s="26">
        <v>1069819.82</v>
      </c>
      <c r="H87" s="26">
        <v>1013513.51</v>
      </c>
      <c r="I87" s="26">
        <v>957207.21</v>
      </c>
      <c r="J87" s="26">
        <v>900900.9</v>
      </c>
      <c r="K87" s="26">
        <v>844594.59</v>
      </c>
      <c r="L87" s="26">
        <v>788288.29</v>
      </c>
      <c r="M87" s="26">
        <v>731981.98</v>
      </c>
      <c r="N87" s="26">
        <v>675675.67</v>
      </c>
      <c r="O87" s="26">
        <v>619369.37</v>
      </c>
      <c r="P87" s="26">
        <v>563063.06</v>
      </c>
      <c r="Q87" s="26">
        <v>506756.76</v>
      </c>
    </row>
    <row r="88" spans="1:17" ht="12.75">
      <c r="A88" s="152" t="s">
        <v>178</v>
      </c>
      <c r="B88" s="207"/>
      <c r="C88" s="207"/>
      <c r="D88" s="208"/>
      <c r="E88" s="13">
        <v>48941793.67</v>
      </c>
      <c r="F88" s="27">
        <v>48083165.71</v>
      </c>
      <c r="G88" s="27">
        <v>47224537.75</v>
      </c>
      <c r="H88" s="27">
        <v>46365909.79</v>
      </c>
      <c r="I88" s="27">
        <v>45507281.83</v>
      </c>
      <c r="J88" s="27">
        <v>44648563.87</v>
      </c>
      <c r="K88" s="27">
        <v>43790025.91</v>
      </c>
      <c r="L88" s="27">
        <v>42931397.95</v>
      </c>
      <c r="M88" s="27">
        <v>42072770</v>
      </c>
      <c r="N88" s="27">
        <v>41214142.04</v>
      </c>
      <c r="O88" s="27">
        <v>40355514.08</v>
      </c>
      <c r="P88" s="27">
        <v>39496886.12</v>
      </c>
      <c r="Q88" s="27">
        <v>38638258.16</v>
      </c>
    </row>
    <row r="89" spans="1:17" ht="12.75">
      <c r="A89" s="152" t="s">
        <v>179</v>
      </c>
      <c r="B89" s="207"/>
      <c r="C89" s="207"/>
      <c r="D89" s="208"/>
      <c r="E89" s="28">
        <v>19715079.68</v>
      </c>
      <c r="F89" s="28">
        <v>19631893.69</v>
      </c>
      <c r="G89" s="28">
        <v>19548707.7</v>
      </c>
      <c r="H89" s="28">
        <v>19465521.71</v>
      </c>
      <c r="I89" s="28">
        <v>19382335.72</v>
      </c>
      <c r="J89" s="28">
        <v>19299149.73</v>
      </c>
      <c r="K89" s="28">
        <v>19215963.74</v>
      </c>
      <c r="L89" s="28">
        <v>19132777.75</v>
      </c>
      <c r="M89" s="28">
        <v>19049591.76</v>
      </c>
      <c r="N89" s="28">
        <v>18966405.77</v>
      </c>
      <c r="O89" s="28">
        <v>18883219.78</v>
      </c>
      <c r="P89" s="28">
        <v>18800033.79</v>
      </c>
      <c r="Q89" s="28">
        <v>18716847.79</v>
      </c>
    </row>
    <row r="90" spans="1:17" ht="12.75">
      <c r="A90" s="152" t="s">
        <v>180</v>
      </c>
      <c r="B90" s="207"/>
      <c r="C90" s="207"/>
      <c r="D90" s="208"/>
      <c r="E90" s="27">
        <v>15374117.66</v>
      </c>
      <c r="F90" s="26">
        <v>15184313.74</v>
      </c>
      <c r="G90" s="26">
        <v>14994509.82</v>
      </c>
      <c r="H90" s="26">
        <v>14804705.88</v>
      </c>
      <c r="I90" s="26">
        <v>14614901.96</v>
      </c>
      <c r="J90" s="26">
        <v>14425098.04</v>
      </c>
      <c r="K90" s="26">
        <v>14235294.12</v>
      </c>
      <c r="L90" s="26">
        <v>14045490.2</v>
      </c>
      <c r="M90" s="26">
        <v>13855686.28</v>
      </c>
      <c r="N90" s="26">
        <v>13665882.36</v>
      </c>
      <c r="O90" s="26">
        <v>13476078.44</v>
      </c>
      <c r="P90" s="26">
        <v>13286274.52</v>
      </c>
      <c r="Q90" s="26">
        <v>13096470.6</v>
      </c>
    </row>
    <row r="91" spans="1:17" ht="12.75">
      <c r="A91" s="152" t="s">
        <v>181</v>
      </c>
      <c r="B91" s="207"/>
      <c r="C91" s="207"/>
      <c r="D91" s="208"/>
      <c r="E91" s="27">
        <v>1386823.54</v>
      </c>
      <c r="F91" s="26">
        <v>1320784.32</v>
      </c>
      <c r="G91" s="26">
        <v>1254745.1</v>
      </c>
      <c r="H91" s="26">
        <v>1188705.88</v>
      </c>
      <c r="I91" s="26">
        <v>1122666.66</v>
      </c>
      <c r="J91" s="26">
        <v>1056627.46</v>
      </c>
      <c r="K91" s="26">
        <v>990588.24</v>
      </c>
      <c r="L91" s="26">
        <v>924549.02</v>
      </c>
      <c r="M91" s="26">
        <v>858509.8</v>
      </c>
      <c r="N91" s="26">
        <v>792470.58</v>
      </c>
      <c r="O91" s="26">
        <v>726431.38</v>
      </c>
      <c r="P91" s="26">
        <v>660392.16</v>
      </c>
      <c r="Q91" s="26">
        <v>594352.94</v>
      </c>
    </row>
    <row r="92" spans="1:17" ht="12.75">
      <c r="A92" s="152" t="s">
        <v>184</v>
      </c>
      <c r="B92" s="207"/>
      <c r="C92" s="207"/>
      <c r="D92" s="208"/>
      <c r="E92" s="27">
        <v>82550453.7</v>
      </c>
      <c r="F92" s="27">
        <v>81354070.32</v>
      </c>
      <c r="G92" s="27">
        <v>80157686.93</v>
      </c>
      <c r="H92" s="27">
        <v>78961303.54</v>
      </c>
      <c r="I92" s="27">
        <v>77764920.16</v>
      </c>
      <c r="J92" s="27">
        <v>76568536.77</v>
      </c>
      <c r="K92" s="27">
        <v>75372153.38</v>
      </c>
      <c r="L92" s="27">
        <v>74175770</v>
      </c>
      <c r="M92" s="27">
        <v>72979386.61</v>
      </c>
      <c r="N92" s="27">
        <v>71783.00322</v>
      </c>
      <c r="O92" s="27">
        <v>70586619.83</v>
      </c>
      <c r="P92" s="27">
        <v>69390236.45</v>
      </c>
      <c r="Q92" s="27">
        <v>68193853.06</v>
      </c>
    </row>
    <row r="93" spans="1:17" ht="12.75">
      <c r="A93" s="152" t="s">
        <v>185</v>
      </c>
      <c r="B93" s="207"/>
      <c r="C93" s="207"/>
      <c r="D93" s="208"/>
      <c r="E93" s="27">
        <v>27426594.97</v>
      </c>
      <c r="F93" s="27">
        <v>27316448</v>
      </c>
      <c r="G93" s="27">
        <v>27206301.03</v>
      </c>
      <c r="H93" s="27">
        <v>27096154.06</v>
      </c>
      <c r="I93" s="27">
        <v>26986007.1</v>
      </c>
      <c r="J93" s="27">
        <v>26875860.13</v>
      </c>
      <c r="K93" s="27">
        <v>26765713.16</v>
      </c>
      <c r="L93" s="27">
        <v>26655566.19</v>
      </c>
      <c r="M93" s="27">
        <v>26545419.23</v>
      </c>
      <c r="N93" s="27">
        <v>26435272.26</v>
      </c>
      <c r="O93" s="27">
        <v>26325125.29</v>
      </c>
      <c r="P93" s="27">
        <v>26214978.32</v>
      </c>
      <c r="Q93" s="27">
        <v>26104831.35</v>
      </c>
    </row>
    <row r="94" spans="1:17" ht="12.75">
      <c r="A94" s="152" t="s">
        <v>186</v>
      </c>
      <c r="B94" s="207"/>
      <c r="C94" s="207"/>
      <c r="D94" s="208"/>
      <c r="E94" s="8">
        <v>3131764.71</v>
      </c>
      <c r="F94" s="8">
        <v>3036862.75</v>
      </c>
      <c r="G94" s="8">
        <v>2941960.79</v>
      </c>
      <c r="H94" s="8">
        <v>2847058.82</v>
      </c>
      <c r="I94" s="8">
        <v>2752156.86</v>
      </c>
      <c r="J94" s="8">
        <v>2657254.9</v>
      </c>
      <c r="K94" s="8">
        <v>2562352.94</v>
      </c>
      <c r="L94" s="8">
        <v>2467450.98</v>
      </c>
      <c r="M94" s="8">
        <v>8066666.67</v>
      </c>
      <c r="N94" s="8">
        <v>7971764.71</v>
      </c>
      <c r="O94" s="8">
        <v>7876862.75</v>
      </c>
      <c r="P94" s="8">
        <v>7781960.79</v>
      </c>
      <c r="Q94" s="8">
        <v>7687058.83</v>
      </c>
    </row>
    <row r="95" spans="1:17" ht="12.75">
      <c r="A95" s="152" t="s">
        <v>187</v>
      </c>
      <c r="B95" s="207"/>
      <c r="C95" s="207"/>
      <c r="D95" s="208"/>
      <c r="E95" s="8">
        <v>1089647.06</v>
      </c>
      <c r="F95" s="8">
        <v>1056627.45</v>
      </c>
      <c r="G95" s="8">
        <v>1023607.84</v>
      </c>
      <c r="H95" s="8">
        <v>990588.24</v>
      </c>
      <c r="I95" s="8">
        <v>957568.63</v>
      </c>
      <c r="J95" s="8">
        <v>924549.02</v>
      </c>
      <c r="K95" s="8">
        <v>891529.41</v>
      </c>
      <c r="L95" s="8">
        <v>858509.8</v>
      </c>
      <c r="M95" s="27">
        <v>825490.2</v>
      </c>
      <c r="N95" s="8">
        <v>792470.59</v>
      </c>
      <c r="O95" s="8">
        <v>759450.98</v>
      </c>
      <c r="P95" s="8">
        <v>726431.37</v>
      </c>
      <c r="Q95" s="8">
        <v>693411.77</v>
      </c>
    </row>
    <row r="96" spans="1:17" ht="12.75">
      <c r="A96" s="152" t="s">
        <v>182</v>
      </c>
      <c r="B96" s="207"/>
      <c r="C96" s="207"/>
      <c r="D96" s="208"/>
      <c r="E96" s="8">
        <v>102941.18</v>
      </c>
      <c r="F96" s="26">
        <v>98039.22</v>
      </c>
      <c r="G96" s="26">
        <v>93137.26</v>
      </c>
      <c r="H96" s="26">
        <v>88235.29</v>
      </c>
      <c r="I96" s="26">
        <v>83333.33</v>
      </c>
      <c r="J96" s="26">
        <v>78431.37</v>
      </c>
      <c r="K96" s="26">
        <v>73529.41</v>
      </c>
      <c r="L96" s="26">
        <v>68627.45</v>
      </c>
      <c r="M96" s="26">
        <v>63725.49</v>
      </c>
      <c r="N96" s="26">
        <v>58823.53</v>
      </c>
      <c r="O96" s="26">
        <v>53921.57</v>
      </c>
      <c r="P96" s="26">
        <v>49019.61</v>
      </c>
      <c r="Q96" s="26">
        <v>44117.65</v>
      </c>
    </row>
    <row r="97" spans="1:17" ht="12.75">
      <c r="A97" s="152" t="s">
        <v>202</v>
      </c>
      <c r="B97" s="207"/>
      <c r="C97" s="207"/>
      <c r="D97" s="208"/>
      <c r="E97" s="8">
        <f aca="true" t="shared" si="6" ref="E97:Q97">E96+E95+E94+E93+E92+E91+E90+E89+E88+E87</f>
        <v>200901648.60000002</v>
      </c>
      <c r="F97" s="8">
        <f t="shared" si="6"/>
        <v>198208331.32</v>
      </c>
      <c r="G97" s="8">
        <f t="shared" si="6"/>
        <v>195515014.04</v>
      </c>
      <c r="H97" s="8">
        <f t="shared" si="6"/>
        <v>192821696.71999997</v>
      </c>
      <c r="I97" s="8">
        <f t="shared" si="6"/>
        <v>190128379.46</v>
      </c>
      <c r="J97" s="8">
        <f t="shared" si="6"/>
        <v>187434972.19</v>
      </c>
      <c r="K97" s="8">
        <f t="shared" si="6"/>
        <v>184741744.9</v>
      </c>
      <c r="L97" s="8">
        <f t="shared" si="6"/>
        <v>182048427.62999997</v>
      </c>
      <c r="M97" s="8">
        <f t="shared" si="6"/>
        <v>185049228.01999998</v>
      </c>
      <c r="N97" s="8">
        <f t="shared" si="6"/>
        <v>110644690.51322</v>
      </c>
      <c r="O97" s="8">
        <f t="shared" si="6"/>
        <v>179662593.46999997</v>
      </c>
      <c r="P97" s="8">
        <f t="shared" si="6"/>
        <v>176969276.19</v>
      </c>
      <c r="Q97" s="8">
        <f t="shared" si="6"/>
        <v>174275958.90999997</v>
      </c>
    </row>
    <row r="98" spans="1:17" ht="13.5" thickBot="1">
      <c r="A98" s="249" t="s">
        <v>201</v>
      </c>
      <c r="B98" s="250"/>
      <c r="C98" s="250"/>
      <c r="D98" s="251"/>
      <c r="E98" s="14"/>
      <c r="F98" s="14"/>
      <c r="G98" s="14"/>
      <c r="H98" s="16">
        <f>(E97+F97+G97+H97)/4/100*2.2</f>
        <v>4330956.79874</v>
      </c>
      <c r="I98" s="14"/>
      <c r="J98" s="14"/>
      <c r="K98" s="16">
        <f>(E97+F97+G97+H97+I97+J97+K97)/7/100*2.2</f>
        <v>4242077.045580002</v>
      </c>
      <c r="L98" s="14"/>
      <c r="M98" s="14"/>
      <c r="N98" s="16">
        <f>(E97+F97+G97+H97+I97+J97+K97+L97+M97+N97)/10/100*2.2</f>
        <v>4020487.093465085</v>
      </c>
      <c r="O98" s="14"/>
      <c r="P98" s="14"/>
      <c r="Q98" s="16">
        <f>(E97+F97+G97+H97+I97+J97+K97+L97+M97+N97+O97+P97+Q97)/13/100*2.2-H98-K98-N98</f>
        <v>-8602379.156001177</v>
      </c>
    </row>
    <row r="99" spans="1:17" ht="13.5" thickBot="1">
      <c r="A99" s="252" t="s">
        <v>193</v>
      </c>
      <c r="B99" s="253"/>
      <c r="C99" s="253"/>
      <c r="D99" s="253"/>
      <c r="E99" s="253"/>
      <c r="F99" s="253"/>
      <c r="G99" s="253"/>
      <c r="H99" s="253"/>
      <c r="I99" s="253"/>
      <c r="J99" s="253"/>
      <c r="K99" s="253"/>
      <c r="L99" s="253"/>
      <c r="M99" s="253"/>
      <c r="N99" s="253"/>
      <c r="O99" s="253"/>
      <c r="P99" s="253"/>
      <c r="Q99" s="254"/>
    </row>
    <row r="100" spans="1:17" ht="12.75">
      <c r="A100" s="255" t="s">
        <v>199</v>
      </c>
      <c r="B100" s="256"/>
      <c r="C100" s="256"/>
      <c r="D100" s="257"/>
      <c r="E100" s="29">
        <v>47119</v>
      </c>
      <c r="F100" s="29">
        <v>47150</v>
      </c>
      <c r="G100" s="29">
        <v>47178</v>
      </c>
      <c r="H100" s="29">
        <v>47209</v>
      </c>
      <c r="I100" s="29">
        <v>47239</v>
      </c>
      <c r="J100" s="29">
        <v>47270</v>
      </c>
      <c r="K100" s="29">
        <v>47300</v>
      </c>
      <c r="L100" s="29">
        <v>47331</v>
      </c>
      <c r="M100" s="29">
        <v>47362</v>
      </c>
      <c r="N100" s="29">
        <v>47392</v>
      </c>
      <c r="O100" s="29">
        <v>47423</v>
      </c>
      <c r="P100" s="29">
        <v>47453</v>
      </c>
      <c r="Q100" s="29">
        <v>47484</v>
      </c>
    </row>
    <row r="101" spans="1:17" ht="12.75">
      <c r="A101" s="152" t="s">
        <v>200</v>
      </c>
      <c r="B101" s="207"/>
      <c r="C101" s="207"/>
      <c r="D101" s="208"/>
      <c r="E101" s="13">
        <v>506756.76</v>
      </c>
      <c r="F101" s="13">
        <v>450450.45</v>
      </c>
      <c r="G101" s="26">
        <v>394144.14</v>
      </c>
      <c r="H101" s="26">
        <v>337837.84</v>
      </c>
      <c r="I101" s="26">
        <v>281531.53</v>
      </c>
      <c r="J101" s="26">
        <v>225225.22</v>
      </c>
      <c r="K101" s="26">
        <v>168918.92</v>
      </c>
      <c r="L101" s="26">
        <v>112612.61</v>
      </c>
      <c r="M101" s="26">
        <v>56306.31</v>
      </c>
      <c r="N101" s="26"/>
      <c r="O101" s="26"/>
      <c r="P101" s="26"/>
      <c r="Q101" s="26"/>
    </row>
    <row r="102" spans="1:17" ht="12.75">
      <c r="A102" s="152" t="s">
        <v>178</v>
      </c>
      <c r="B102" s="207"/>
      <c r="C102" s="207"/>
      <c r="D102" s="208"/>
      <c r="E102" s="13">
        <v>38638258.16</v>
      </c>
      <c r="F102" s="27">
        <v>37779630.2</v>
      </c>
      <c r="G102" s="27">
        <v>36921002.24</v>
      </c>
      <c r="H102" s="27">
        <v>36062374.28</v>
      </c>
      <c r="I102" s="27">
        <v>35203746.32</v>
      </c>
      <c r="J102" s="27">
        <v>34345118.36</v>
      </c>
      <c r="K102" s="27">
        <v>33486490.4</v>
      </c>
      <c r="L102" s="27">
        <v>32627862.45</v>
      </c>
      <c r="M102" s="27">
        <v>31769234.49</v>
      </c>
      <c r="N102" s="27">
        <v>30910606.53</v>
      </c>
      <c r="O102" s="27">
        <v>30051978.57</v>
      </c>
      <c r="P102" s="27">
        <v>29193350.61</v>
      </c>
      <c r="Q102" s="27">
        <v>28334722.65</v>
      </c>
    </row>
    <row r="103" spans="1:17" ht="12.75">
      <c r="A103" s="152" t="s">
        <v>179</v>
      </c>
      <c r="B103" s="207"/>
      <c r="C103" s="207"/>
      <c r="D103" s="208"/>
      <c r="E103" s="28">
        <v>18716847.79</v>
      </c>
      <c r="F103" s="28">
        <v>18633661.8</v>
      </c>
      <c r="G103" s="28">
        <v>18550475.81</v>
      </c>
      <c r="H103" s="28">
        <v>18467289.82</v>
      </c>
      <c r="I103" s="28">
        <v>18384103.83</v>
      </c>
      <c r="J103" s="28">
        <v>18300917.84</v>
      </c>
      <c r="K103" s="28">
        <v>18217731.85</v>
      </c>
      <c r="L103" s="28">
        <v>18134545.86</v>
      </c>
      <c r="M103" s="28">
        <v>18051359.87</v>
      </c>
      <c r="N103" s="28">
        <v>17968173.88</v>
      </c>
      <c r="O103" s="28">
        <v>17884987.89</v>
      </c>
      <c r="P103" s="28">
        <v>17801801.9</v>
      </c>
      <c r="Q103" s="28">
        <v>17718615.91</v>
      </c>
    </row>
    <row r="104" spans="1:17" ht="12.75">
      <c r="A104" s="152" t="s">
        <v>180</v>
      </c>
      <c r="B104" s="207"/>
      <c r="C104" s="207"/>
      <c r="D104" s="208"/>
      <c r="E104" s="27">
        <v>13096470.6</v>
      </c>
      <c r="F104" s="26">
        <v>12906666.68</v>
      </c>
      <c r="G104" s="26">
        <v>12716862.76</v>
      </c>
      <c r="H104" s="26">
        <v>12527058.82</v>
      </c>
      <c r="I104" s="26">
        <v>12337254.9</v>
      </c>
      <c r="J104" s="26">
        <v>12147450.98</v>
      </c>
      <c r="K104" s="26">
        <v>11957647.06</v>
      </c>
      <c r="L104" s="26">
        <v>11767843.14</v>
      </c>
      <c r="M104" s="26">
        <v>11578039.22</v>
      </c>
      <c r="N104" s="26">
        <v>11388235.3</v>
      </c>
      <c r="O104" s="26">
        <v>11198431.38</v>
      </c>
      <c r="P104" s="26">
        <v>11008627.46</v>
      </c>
      <c r="Q104" s="26">
        <v>10818823.54</v>
      </c>
    </row>
    <row r="105" spans="1:17" ht="12.75">
      <c r="A105" s="152" t="s">
        <v>181</v>
      </c>
      <c r="B105" s="207"/>
      <c r="C105" s="207"/>
      <c r="D105" s="208"/>
      <c r="E105" s="27">
        <v>594352.94</v>
      </c>
      <c r="F105" s="26">
        <v>528313.72</v>
      </c>
      <c r="G105" s="26">
        <v>462274.52</v>
      </c>
      <c r="H105" s="26">
        <v>396235.3</v>
      </c>
      <c r="I105" s="26">
        <v>330196.08</v>
      </c>
      <c r="J105" s="26">
        <v>264156.86</v>
      </c>
      <c r="K105" s="26">
        <v>198117.64</v>
      </c>
      <c r="L105" s="26">
        <v>132078.44</v>
      </c>
      <c r="M105" s="26">
        <v>66039.22</v>
      </c>
      <c r="N105" s="26"/>
      <c r="O105" s="26"/>
      <c r="P105" s="26"/>
      <c r="Q105" s="26"/>
    </row>
    <row r="106" spans="1:17" ht="12.75">
      <c r="A106" s="152" t="s">
        <v>184</v>
      </c>
      <c r="B106" s="207"/>
      <c r="C106" s="207"/>
      <c r="D106" s="208"/>
      <c r="E106" s="27">
        <v>68193853.06</v>
      </c>
      <c r="F106" s="27">
        <v>66997469.67</v>
      </c>
      <c r="G106" s="27">
        <v>65801086.29</v>
      </c>
      <c r="H106" s="27">
        <v>64604702.9</v>
      </c>
      <c r="I106" s="27">
        <v>63408319.51</v>
      </c>
      <c r="J106" s="27">
        <v>62211936.13</v>
      </c>
      <c r="K106" s="27">
        <v>61015552.74</v>
      </c>
      <c r="L106" s="27">
        <v>59819169.35</v>
      </c>
      <c r="M106" s="27">
        <v>58622785.96</v>
      </c>
      <c r="N106" s="27">
        <v>57426402.58</v>
      </c>
      <c r="O106" s="27">
        <v>56230019.19</v>
      </c>
      <c r="P106" s="27">
        <v>55033635.8</v>
      </c>
      <c r="Q106" s="27">
        <v>53837252.42</v>
      </c>
    </row>
    <row r="107" spans="1:17" ht="12.75">
      <c r="A107" s="152" t="s">
        <v>185</v>
      </c>
      <c r="B107" s="207"/>
      <c r="C107" s="207"/>
      <c r="D107" s="208"/>
      <c r="E107" s="27">
        <v>26104831.35</v>
      </c>
      <c r="F107" s="27">
        <v>25994684.39</v>
      </c>
      <c r="G107" s="27">
        <v>25884537.42</v>
      </c>
      <c r="H107" s="27">
        <v>25774390.45</v>
      </c>
      <c r="I107" s="27">
        <v>25664243.48</v>
      </c>
      <c r="J107" s="27">
        <v>25554096.52</v>
      </c>
      <c r="K107" s="27">
        <v>25443949.55</v>
      </c>
      <c r="L107" s="27">
        <v>25333802.58</v>
      </c>
      <c r="M107" s="27">
        <v>25223655.61</v>
      </c>
      <c r="N107" s="27">
        <v>25113508.64</v>
      </c>
      <c r="O107" s="27">
        <v>25003361.68</v>
      </c>
      <c r="P107" s="27">
        <v>24893214.71</v>
      </c>
      <c r="Q107" s="27">
        <v>24783067.74</v>
      </c>
    </row>
    <row r="108" spans="1:17" ht="12.75">
      <c r="A108" s="152" t="s">
        <v>186</v>
      </c>
      <c r="B108" s="207"/>
      <c r="C108" s="207"/>
      <c r="D108" s="208"/>
      <c r="E108" s="8">
        <v>7687058.83</v>
      </c>
      <c r="F108" s="8">
        <v>7592156.87</v>
      </c>
      <c r="G108" s="8">
        <v>7497254.91</v>
      </c>
      <c r="H108" s="8">
        <v>7402352.94</v>
      </c>
      <c r="I108" s="8">
        <v>7307450.98</v>
      </c>
      <c r="J108" s="8">
        <v>7212549.02</v>
      </c>
      <c r="K108" s="8">
        <v>7117647.06</v>
      </c>
      <c r="L108" s="8">
        <v>7022745.1</v>
      </c>
      <c r="M108" s="8">
        <v>6927843.14</v>
      </c>
      <c r="N108" s="8">
        <v>6832941.18</v>
      </c>
      <c r="O108" s="8">
        <v>6738039.22</v>
      </c>
      <c r="P108" s="8">
        <v>6643137.26</v>
      </c>
      <c r="Q108" s="8">
        <v>6548235.3</v>
      </c>
    </row>
    <row r="109" spans="1:17" ht="12.75">
      <c r="A109" s="152" t="s">
        <v>187</v>
      </c>
      <c r="B109" s="207"/>
      <c r="C109" s="207"/>
      <c r="D109" s="208"/>
      <c r="E109" s="8">
        <v>693411.77</v>
      </c>
      <c r="F109" s="8">
        <v>660392.16</v>
      </c>
      <c r="G109" s="8">
        <v>627372.55</v>
      </c>
      <c r="H109" s="8">
        <v>594352.94</v>
      </c>
      <c r="I109" s="8">
        <v>561333.33</v>
      </c>
      <c r="J109" s="8">
        <v>528313.73</v>
      </c>
      <c r="K109" s="8">
        <v>495294.12</v>
      </c>
      <c r="L109" s="8">
        <v>462274.51</v>
      </c>
      <c r="M109" s="27">
        <v>429254.9</v>
      </c>
      <c r="N109" s="8">
        <v>396235.29</v>
      </c>
      <c r="O109" s="8">
        <v>363215.69</v>
      </c>
      <c r="P109" s="8">
        <v>330196.08</v>
      </c>
      <c r="Q109" s="8">
        <v>297176.47</v>
      </c>
    </row>
    <row r="110" spans="1:17" ht="12.75">
      <c r="A110" s="152" t="s">
        <v>182</v>
      </c>
      <c r="B110" s="207"/>
      <c r="C110" s="207"/>
      <c r="D110" s="208"/>
      <c r="E110" s="8">
        <v>44117.65</v>
      </c>
      <c r="F110" s="26">
        <v>39215.69</v>
      </c>
      <c r="G110" s="26">
        <v>34313.73</v>
      </c>
      <c r="H110" s="26">
        <v>29411.76</v>
      </c>
      <c r="I110" s="26">
        <v>24509.8</v>
      </c>
      <c r="J110" s="26">
        <v>19607.84</v>
      </c>
      <c r="K110" s="26">
        <v>14705.88</v>
      </c>
      <c r="L110" s="26">
        <v>9803.92</v>
      </c>
      <c r="M110" s="26">
        <v>4901.96</v>
      </c>
      <c r="N110" s="26"/>
      <c r="O110" s="26"/>
      <c r="P110" s="26"/>
      <c r="Q110" s="26"/>
    </row>
    <row r="111" spans="1:17" ht="12.75">
      <c r="A111" s="152" t="s">
        <v>202</v>
      </c>
      <c r="B111" s="207"/>
      <c r="C111" s="207"/>
      <c r="D111" s="208"/>
      <c r="E111" s="8">
        <f aca="true" t="shared" si="7" ref="E111:Q111">E110+E109+E108+E107+E106+E105+E104+E103+E102+E101</f>
        <v>174275958.90999997</v>
      </c>
      <c r="F111" s="8">
        <f t="shared" si="7"/>
        <v>171582641.63</v>
      </c>
      <c r="G111" s="8">
        <f t="shared" si="7"/>
        <v>168889324.37</v>
      </c>
      <c r="H111" s="8">
        <f t="shared" si="7"/>
        <v>166196007.05</v>
      </c>
      <c r="I111" s="8">
        <f t="shared" si="7"/>
        <v>163502689.76</v>
      </c>
      <c r="J111" s="8">
        <f t="shared" si="7"/>
        <v>160809372.50000003</v>
      </c>
      <c r="K111" s="8">
        <f t="shared" si="7"/>
        <v>158116055.22</v>
      </c>
      <c r="L111" s="8">
        <f t="shared" si="7"/>
        <v>155422737.96</v>
      </c>
      <c r="M111" s="8">
        <f t="shared" si="7"/>
        <v>152729420.68</v>
      </c>
      <c r="N111" s="8">
        <f t="shared" si="7"/>
        <v>150036103.39999998</v>
      </c>
      <c r="O111" s="8">
        <f t="shared" si="7"/>
        <v>147470033.62</v>
      </c>
      <c r="P111" s="8">
        <f t="shared" si="7"/>
        <v>144903963.82</v>
      </c>
      <c r="Q111" s="8">
        <f t="shared" si="7"/>
        <v>142337894.03</v>
      </c>
    </row>
    <row r="112" spans="1:17" ht="13.5" thickBot="1">
      <c r="A112" s="249" t="s">
        <v>201</v>
      </c>
      <c r="B112" s="250"/>
      <c r="C112" s="250"/>
      <c r="D112" s="251"/>
      <c r="E112" s="14"/>
      <c r="F112" s="14"/>
      <c r="G112" s="14"/>
      <c r="H112" s="16">
        <f>(E111+F111+G111+H111)/4/100*2.2</f>
        <v>3745191.6257800004</v>
      </c>
      <c r="I112" s="14"/>
      <c r="J112" s="14"/>
      <c r="K112" s="16">
        <f>(E111+F111+G111+H111+I111+J111+K111)/7/100*2.2</f>
        <v>3656312.1553828577</v>
      </c>
      <c r="L112" s="14"/>
      <c r="M112" s="14"/>
      <c r="N112" s="16">
        <f>(E111+F111+G111+H111+I111+J111+K111+L111+M111+N111)/10/100*2.2</f>
        <v>3567432.685256</v>
      </c>
      <c r="O112" s="14"/>
      <c r="P112" s="14"/>
      <c r="Q112" s="16">
        <f>(E111+F111+G111+H111+I111+J111+K111+L111+M111+N111+O111+P111+Q111)/13/100*2.2-H112-K112-N112</f>
        <v>-7489091.199888089</v>
      </c>
    </row>
    <row r="113" spans="1:17" ht="13.5" thickBot="1">
      <c r="A113" s="252" t="s">
        <v>194</v>
      </c>
      <c r="B113" s="253"/>
      <c r="C113" s="253"/>
      <c r="D113" s="253"/>
      <c r="E113" s="253"/>
      <c r="F113" s="253"/>
      <c r="G113" s="253"/>
      <c r="H113" s="253"/>
      <c r="I113" s="253"/>
      <c r="J113" s="253"/>
      <c r="K113" s="253"/>
      <c r="L113" s="253"/>
      <c r="M113" s="253"/>
      <c r="N113" s="253"/>
      <c r="O113" s="253"/>
      <c r="P113" s="253"/>
      <c r="Q113" s="254"/>
    </row>
    <row r="114" spans="1:17" ht="12.75">
      <c r="A114" s="255" t="s">
        <v>199</v>
      </c>
      <c r="B114" s="256"/>
      <c r="C114" s="256"/>
      <c r="D114" s="257"/>
      <c r="E114" s="29">
        <v>47484</v>
      </c>
      <c r="F114" s="29">
        <v>47515</v>
      </c>
      <c r="G114" s="29">
        <v>47543</v>
      </c>
      <c r="H114" s="29">
        <v>47574</v>
      </c>
      <c r="I114" s="29">
        <v>47604</v>
      </c>
      <c r="J114" s="29">
        <v>47635</v>
      </c>
      <c r="K114" s="29">
        <v>47665</v>
      </c>
      <c r="L114" s="29">
        <v>47696</v>
      </c>
      <c r="M114" s="29">
        <v>47727</v>
      </c>
      <c r="N114" s="29">
        <v>47757</v>
      </c>
      <c r="O114" s="29">
        <v>47788</v>
      </c>
      <c r="P114" s="29">
        <v>47818</v>
      </c>
      <c r="Q114" s="29">
        <v>47849</v>
      </c>
    </row>
    <row r="115" spans="1:17" ht="12.75">
      <c r="A115" s="152" t="s">
        <v>178</v>
      </c>
      <c r="B115" s="207"/>
      <c r="C115" s="207"/>
      <c r="D115" s="208"/>
      <c r="E115" s="13">
        <v>28334722.65</v>
      </c>
      <c r="F115" s="27">
        <v>27476094.69</v>
      </c>
      <c r="G115" s="27">
        <v>26617466.73</v>
      </c>
      <c r="H115" s="27">
        <v>25758838.77</v>
      </c>
      <c r="I115" s="27">
        <v>24900210.81</v>
      </c>
      <c r="J115" s="27">
        <v>24041582.85</v>
      </c>
      <c r="K115" s="27">
        <v>23182954.9</v>
      </c>
      <c r="L115" s="27">
        <v>22324326.94</v>
      </c>
      <c r="M115" s="27">
        <v>21465698.98</v>
      </c>
      <c r="N115" s="27">
        <v>20607071.02</v>
      </c>
      <c r="O115" s="27">
        <v>19748443.06</v>
      </c>
      <c r="P115" s="27">
        <v>18889815.1</v>
      </c>
      <c r="Q115" s="27">
        <v>18031187.14</v>
      </c>
    </row>
    <row r="116" spans="1:17" ht="12.75">
      <c r="A116" s="152" t="s">
        <v>179</v>
      </c>
      <c r="B116" s="207"/>
      <c r="C116" s="207"/>
      <c r="D116" s="208"/>
      <c r="E116" s="28">
        <v>17718615.91</v>
      </c>
      <c r="F116" s="28">
        <v>17635429.92</v>
      </c>
      <c r="G116" s="28">
        <v>17552243.93</v>
      </c>
      <c r="H116" s="28">
        <v>17469057.94</v>
      </c>
      <c r="I116" s="28">
        <v>17385871.95</v>
      </c>
      <c r="J116" s="28">
        <v>17302685.96</v>
      </c>
      <c r="K116" s="28">
        <v>17219499.97</v>
      </c>
      <c r="L116" s="28">
        <v>17136313.98</v>
      </c>
      <c r="M116" s="28">
        <v>17053127.99</v>
      </c>
      <c r="N116" s="27">
        <v>16969942</v>
      </c>
      <c r="O116" s="28">
        <v>16886756.01</v>
      </c>
      <c r="P116" s="28">
        <v>16803570.02</v>
      </c>
      <c r="Q116" s="28">
        <v>16720384.03</v>
      </c>
    </row>
    <row r="117" spans="1:17" ht="12.75">
      <c r="A117" s="152" t="s">
        <v>180</v>
      </c>
      <c r="B117" s="207"/>
      <c r="C117" s="207"/>
      <c r="D117" s="208"/>
      <c r="E117" s="27">
        <v>10818823.54</v>
      </c>
      <c r="F117" s="26">
        <v>10629019.62</v>
      </c>
      <c r="G117" s="26">
        <v>10439215.7</v>
      </c>
      <c r="H117" s="26">
        <v>10249411.76</v>
      </c>
      <c r="I117" s="26">
        <v>10059607.84</v>
      </c>
      <c r="J117" s="26">
        <v>9869803.92</v>
      </c>
      <c r="K117" s="26">
        <v>9680000</v>
      </c>
      <c r="L117" s="26">
        <v>9490196.08</v>
      </c>
      <c r="M117" s="26">
        <v>9300392.16</v>
      </c>
      <c r="N117" s="26">
        <v>9110588.24</v>
      </c>
      <c r="O117" s="26">
        <v>8920784.32</v>
      </c>
      <c r="P117" s="26">
        <v>8730980.4</v>
      </c>
      <c r="Q117" s="26">
        <v>8541176.48</v>
      </c>
    </row>
    <row r="118" spans="1:17" ht="12.75">
      <c r="A118" s="152" t="s">
        <v>184</v>
      </c>
      <c r="B118" s="207"/>
      <c r="C118" s="207"/>
      <c r="D118" s="208"/>
      <c r="E118" s="27">
        <v>53837252.42</v>
      </c>
      <c r="F118" s="27">
        <v>52640869.03</v>
      </c>
      <c r="G118" s="27">
        <v>51444485.64</v>
      </c>
      <c r="H118" s="27">
        <v>50248102.26</v>
      </c>
      <c r="I118" s="27">
        <v>49051718.87</v>
      </c>
      <c r="J118" s="27">
        <v>47855335.48</v>
      </c>
      <c r="K118" s="27">
        <v>46658952.09</v>
      </c>
      <c r="L118" s="27">
        <v>45462568.71</v>
      </c>
      <c r="M118" s="27">
        <v>44266185.32</v>
      </c>
      <c r="N118" s="27">
        <v>43069801.93</v>
      </c>
      <c r="O118" s="27">
        <v>41873418.55</v>
      </c>
      <c r="P118" s="27">
        <v>40677035.16</v>
      </c>
      <c r="Q118" s="27">
        <v>39480651.77</v>
      </c>
    </row>
    <row r="119" spans="1:17" ht="12.75">
      <c r="A119" s="152" t="s">
        <v>185</v>
      </c>
      <c r="B119" s="207"/>
      <c r="C119" s="207"/>
      <c r="D119" s="208"/>
      <c r="E119" s="27">
        <v>24783067.74</v>
      </c>
      <c r="F119" s="27">
        <v>24672920.77</v>
      </c>
      <c r="G119" s="27">
        <v>24562773.81</v>
      </c>
      <c r="H119" s="27">
        <v>24452626.84</v>
      </c>
      <c r="I119" s="27">
        <v>24342479.87</v>
      </c>
      <c r="J119" s="27">
        <v>24232332.9</v>
      </c>
      <c r="K119" s="27">
        <v>24122185.94</v>
      </c>
      <c r="L119" s="27">
        <v>24012038.97</v>
      </c>
      <c r="M119" s="27">
        <v>23901892</v>
      </c>
      <c r="N119" s="27">
        <v>23791745.03</v>
      </c>
      <c r="O119" s="27">
        <v>23681598.06</v>
      </c>
      <c r="P119" s="27">
        <v>23571451.1</v>
      </c>
      <c r="Q119" s="27">
        <v>23461304.13</v>
      </c>
    </row>
    <row r="120" spans="1:17" ht="12.75">
      <c r="A120" s="152" t="s">
        <v>186</v>
      </c>
      <c r="B120" s="207"/>
      <c r="C120" s="207"/>
      <c r="D120" s="208"/>
      <c r="E120" s="8">
        <v>6548235.3</v>
      </c>
      <c r="F120" s="8">
        <v>6453333.34</v>
      </c>
      <c r="G120" s="8">
        <v>6358431.38</v>
      </c>
      <c r="H120" s="8">
        <v>6263529.41</v>
      </c>
      <c r="I120" s="8">
        <v>6168627.45</v>
      </c>
      <c r="J120" s="8">
        <v>6073725.49</v>
      </c>
      <c r="K120" s="8">
        <v>5978823.53</v>
      </c>
      <c r="L120" s="8">
        <v>5883921.57</v>
      </c>
      <c r="M120" s="8">
        <v>5789019.61</v>
      </c>
      <c r="N120" s="8">
        <v>5694117.65</v>
      </c>
      <c r="O120" s="8">
        <v>5599215.69</v>
      </c>
      <c r="P120" s="8">
        <v>5504313.73</v>
      </c>
      <c r="Q120" s="8">
        <v>5409411.77</v>
      </c>
    </row>
    <row r="121" spans="1:17" ht="12.75">
      <c r="A121" s="152" t="s">
        <v>187</v>
      </c>
      <c r="B121" s="207"/>
      <c r="C121" s="207"/>
      <c r="D121" s="208"/>
      <c r="E121" s="8">
        <v>297176.47</v>
      </c>
      <c r="F121" s="8">
        <v>264156.86</v>
      </c>
      <c r="G121" s="8">
        <v>231137.26</v>
      </c>
      <c r="H121" s="8">
        <v>198177.65</v>
      </c>
      <c r="I121" s="8">
        <v>165098.04</v>
      </c>
      <c r="J121" s="8">
        <v>132078.43</v>
      </c>
      <c r="K121" s="8">
        <v>99058.82</v>
      </c>
      <c r="L121" s="8">
        <v>66039.22</v>
      </c>
      <c r="M121" s="27">
        <v>33019.61</v>
      </c>
      <c r="N121" s="8"/>
      <c r="O121" s="8"/>
      <c r="P121" s="8"/>
      <c r="Q121" s="8"/>
    </row>
    <row r="122" spans="1:17" ht="12.75">
      <c r="A122" s="152" t="s">
        <v>202</v>
      </c>
      <c r="B122" s="207"/>
      <c r="C122" s="207"/>
      <c r="D122" s="208"/>
      <c r="E122" s="8">
        <f aca="true" t="shared" si="8" ref="E122:Q122">E121+E120+E119+E118+E117+E116+E115</f>
        <v>142337894.03</v>
      </c>
      <c r="F122" s="8">
        <f t="shared" si="8"/>
        <v>139771824.23000002</v>
      </c>
      <c r="G122" s="8">
        <f t="shared" si="8"/>
        <v>137205754.45</v>
      </c>
      <c r="H122" s="8">
        <f t="shared" si="8"/>
        <v>134639744.63</v>
      </c>
      <c r="I122" s="8">
        <f t="shared" si="8"/>
        <v>132073614.83</v>
      </c>
      <c r="J122" s="8">
        <f t="shared" si="8"/>
        <v>129507545.03</v>
      </c>
      <c r="K122" s="8">
        <f t="shared" si="8"/>
        <v>126941475.25</v>
      </c>
      <c r="L122" s="8">
        <f t="shared" si="8"/>
        <v>124375405.47</v>
      </c>
      <c r="M122" s="8">
        <f t="shared" si="8"/>
        <v>121809335.66999999</v>
      </c>
      <c r="N122" s="8">
        <f t="shared" si="8"/>
        <v>119243265.86999999</v>
      </c>
      <c r="O122" s="8">
        <f t="shared" si="8"/>
        <v>116710215.69000001</v>
      </c>
      <c r="P122" s="8">
        <f t="shared" si="8"/>
        <v>114177165.50999999</v>
      </c>
      <c r="Q122" s="8">
        <f t="shared" si="8"/>
        <v>111644115.32000001</v>
      </c>
    </row>
    <row r="123" spans="1:17" ht="13.5" thickBot="1">
      <c r="A123" s="249" t="s">
        <v>201</v>
      </c>
      <c r="B123" s="250"/>
      <c r="C123" s="250"/>
      <c r="D123" s="251"/>
      <c r="E123" s="14"/>
      <c r="F123" s="14"/>
      <c r="G123" s="14"/>
      <c r="H123" s="16">
        <f>(E122+F122+G122+H122)/4/100*2.2</f>
        <v>3046753.6953699994</v>
      </c>
      <c r="I123" s="14"/>
      <c r="J123" s="14"/>
      <c r="K123" s="16">
        <f>(E122+F122+G122+H122+I122+J122+K122)/7/100*2.2</f>
        <v>2962073.250557143</v>
      </c>
      <c r="L123" s="14"/>
      <c r="M123" s="14"/>
      <c r="N123" s="16">
        <f>(E122+F122+G122+H122+I122+J122+K122+L122+M122+N122)/10/100*2.2</f>
        <v>2877392.890812</v>
      </c>
      <c r="O123" s="14"/>
      <c r="P123" s="14"/>
      <c r="Q123" s="16">
        <f>(E122+F122+G122+H122+I122+J122+K122+L122+M122+N122+O122+P122+Q122)/13/100*2.2-H123-K123-N123</f>
        <v>-6093172.003542219</v>
      </c>
    </row>
    <row r="124" spans="1:17" ht="13.5" thickBot="1">
      <c r="A124" s="252" t="s">
        <v>195</v>
      </c>
      <c r="B124" s="253"/>
      <c r="C124" s="253"/>
      <c r="D124" s="253"/>
      <c r="E124" s="253"/>
      <c r="F124" s="253"/>
      <c r="G124" s="253"/>
      <c r="H124" s="253"/>
      <c r="I124" s="253"/>
      <c r="J124" s="253"/>
      <c r="K124" s="253"/>
      <c r="L124" s="253"/>
      <c r="M124" s="253"/>
      <c r="N124" s="253"/>
      <c r="O124" s="253"/>
      <c r="P124" s="253"/>
      <c r="Q124" s="254"/>
    </row>
    <row r="125" spans="1:17" ht="12.75">
      <c r="A125" s="255" t="s">
        <v>199</v>
      </c>
      <c r="B125" s="256"/>
      <c r="C125" s="256"/>
      <c r="D125" s="257"/>
      <c r="E125" s="29">
        <v>47849</v>
      </c>
      <c r="F125" s="29">
        <v>47880</v>
      </c>
      <c r="G125" s="29">
        <v>47908</v>
      </c>
      <c r="H125" s="29">
        <v>47939</v>
      </c>
      <c r="I125" s="29">
        <v>47969</v>
      </c>
      <c r="J125" s="29">
        <v>48000</v>
      </c>
      <c r="K125" s="29">
        <v>48030</v>
      </c>
      <c r="L125" s="29">
        <v>48061</v>
      </c>
      <c r="M125" s="29">
        <v>48092</v>
      </c>
      <c r="N125" s="29">
        <v>48122</v>
      </c>
      <c r="O125" s="29">
        <v>48153</v>
      </c>
      <c r="P125" s="29">
        <v>48183</v>
      </c>
      <c r="Q125" s="29">
        <v>48214</v>
      </c>
    </row>
    <row r="126" spans="1:17" ht="12.75">
      <c r="A126" s="152" t="s">
        <v>200</v>
      </c>
      <c r="B126" s="207"/>
      <c r="C126" s="207"/>
      <c r="D126" s="208"/>
      <c r="E126" s="13"/>
      <c r="F126" s="13"/>
      <c r="G126" s="13"/>
      <c r="H126" s="13"/>
      <c r="I126" s="13"/>
      <c r="J126" s="13"/>
      <c r="K126" s="13"/>
      <c r="L126" s="13"/>
      <c r="M126" s="8">
        <v>2083333.33</v>
      </c>
      <c r="N126" s="13">
        <v>2027027.02</v>
      </c>
      <c r="O126" s="8">
        <v>1970720.72</v>
      </c>
      <c r="P126" s="8">
        <v>1914414.41</v>
      </c>
      <c r="Q126" s="8">
        <v>1858108.11</v>
      </c>
    </row>
    <row r="127" spans="1:17" ht="12.75">
      <c r="A127" s="152" t="s">
        <v>178</v>
      </c>
      <c r="B127" s="207"/>
      <c r="C127" s="207"/>
      <c r="D127" s="208"/>
      <c r="E127" s="13">
        <v>18031187.14</v>
      </c>
      <c r="F127" s="27">
        <v>17172559.18</v>
      </c>
      <c r="G127" s="27">
        <v>16313931.22</v>
      </c>
      <c r="H127" s="27">
        <v>15455303.26</v>
      </c>
      <c r="I127" s="27">
        <v>14596675.3</v>
      </c>
      <c r="J127" s="27">
        <v>13738047.35</v>
      </c>
      <c r="K127" s="27">
        <v>12879419.39</v>
      </c>
      <c r="L127" s="27">
        <v>12020791.43</v>
      </c>
      <c r="M127" s="27">
        <v>11162163.47</v>
      </c>
      <c r="N127" s="27">
        <v>10303535.51</v>
      </c>
      <c r="O127" s="27">
        <v>9444907.55</v>
      </c>
      <c r="P127" s="27">
        <v>8586279.59</v>
      </c>
      <c r="Q127" s="27">
        <v>7727651.63</v>
      </c>
    </row>
    <row r="128" spans="1:17" ht="12.75">
      <c r="A128" s="152" t="s">
        <v>179</v>
      </c>
      <c r="B128" s="207"/>
      <c r="C128" s="207"/>
      <c r="D128" s="208"/>
      <c r="E128" s="28">
        <v>16720384.03</v>
      </c>
      <c r="F128" s="28">
        <v>16637198.04</v>
      </c>
      <c r="G128" s="28">
        <v>16554012.05</v>
      </c>
      <c r="H128" s="28">
        <v>16470826.06</v>
      </c>
      <c r="I128" s="28">
        <v>16387640.07</v>
      </c>
      <c r="J128" s="28">
        <v>16304454.08</v>
      </c>
      <c r="K128" s="28">
        <v>16221268.09</v>
      </c>
      <c r="L128" s="28">
        <v>16138082.1</v>
      </c>
      <c r="M128" s="28">
        <v>16054896.11</v>
      </c>
      <c r="N128" s="28">
        <v>15971710.12</v>
      </c>
      <c r="O128" s="28">
        <v>15888524.13</v>
      </c>
      <c r="P128" s="28">
        <v>15805338.14</v>
      </c>
      <c r="Q128" s="28">
        <v>15722152.15</v>
      </c>
    </row>
    <row r="129" spans="1:17" ht="12.75">
      <c r="A129" s="152" t="s">
        <v>180</v>
      </c>
      <c r="B129" s="207"/>
      <c r="C129" s="207"/>
      <c r="D129" s="208"/>
      <c r="E129" s="27">
        <v>8541176.48</v>
      </c>
      <c r="F129" s="26">
        <v>8351372.56</v>
      </c>
      <c r="G129" s="26">
        <v>8161568.64</v>
      </c>
      <c r="H129" s="26">
        <v>7971764.7</v>
      </c>
      <c r="I129" s="26">
        <v>7781960.78</v>
      </c>
      <c r="J129" s="26">
        <v>7592156.86</v>
      </c>
      <c r="K129" s="26">
        <v>7402352.94</v>
      </c>
      <c r="L129" s="26">
        <v>7212549.02</v>
      </c>
      <c r="M129" s="26">
        <v>7022745.1</v>
      </c>
      <c r="N129" s="26">
        <v>6832941.18</v>
      </c>
      <c r="O129" s="26">
        <v>6643137.26</v>
      </c>
      <c r="P129" s="26">
        <v>6453333.34</v>
      </c>
      <c r="Q129" s="26">
        <v>6263529.42</v>
      </c>
    </row>
    <row r="130" spans="1:17" ht="12.75">
      <c r="A130" s="152" t="s">
        <v>184</v>
      </c>
      <c r="B130" s="207"/>
      <c r="C130" s="207"/>
      <c r="D130" s="208"/>
      <c r="E130" s="27">
        <v>39480651.77</v>
      </c>
      <c r="F130" s="27">
        <v>38284268.38</v>
      </c>
      <c r="G130" s="27">
        <v>37087885</v>
      </c>
      <c r="H130" s="27">
        <v>35891501.61</v>
      </c>
      <c r="I130" s="27">
        <v>34695118.22</v>
      </c>
      <c r="J130" s="27">
        <v>33498734.84</v>
      </c>
      <c r="K130" s="27">
        <v>32302351.45</v>
      </c>
      <c r="L130" s="27">
        <v>31105968.06</v>
      </c>
      <c r="M130" s="27">
        <v>29909584.68</v>
      </c>
      <c r="N130" s="27">
        <v>28713201.29</v>
      </c>
      <c r="O130" s="27">
        <v>27516817.9</v>
      </c>
      <c r="P130" s="27">
        <v>26320434.51</v>
      </c>
      <c r="Q130" s="27">
        <v>25124051.13</v>
      </c>
    </row>
    <row r="131" spans="1:17" ht="12.75">
      <c r="A131" s="152" t="s">
        <v>185</v>
      </c>
      <c r="B131" s="207"/>
      <c r="C131" s="207"/>
      <c r="D131" s="208"/>
      <c r="E131" s="27">
        <v>23461304.13</v>
      </c>
      <c r="F131" s="27">
        <v>23351157.16</v>
      </c>
      <c r="G131" s="27">
        <v>23241010.19</v>
      </c>
      <c r="H131" s="27">
        <v>23130863.23</v>
      </c>
      <c r="I131" s="27">
        <v>23020716.26</v>
      </c>
      <c r="J131" s="27">
        <v>22910569.29</v>
      </c>
      <c r="K131" s="27">
        <v>22800422.32</v>
      </c>
      <c r="L131" s="27">
        <v>22690275.35</v>
      </c>
      <c r="M131" s="27">
        <v>22580128.39</v>
      </c>
      <c r="N131" s="27">
        <v>22469981.42</v>
      </c>
      <c r="O131" s="27">
        <v>22359834.45</v>
      </c>
      <c r="P131" s="27">
        <v>22249687.48</v>
      </c>
      <c r="Q131" s="27">
        <v>22139540.52</v>
      </c>
    </row>
    <row r="132" spans="1:17" ht="12.75">
      <c r="A132" s="152" t="s">
        <v>186</v>
      </c>
      <c r="B132" s="207"/>
      <c r="C132" s="207"/>
      <c r="D132" s="208"/>
      <c r="E132" s="8">
        <v>5409411.77</v>
      </c>
      <c r="F132" s="8">
        <v>5314509.81</v>
      </c>
      <c r="G132" s="8">
        <v>5219607.85</v>
      </c>
      <c r="H132" s="8">
        <v>5124705.88</v>
      </c>
      <c r="I132" s="8">
        <v>5029803.92</v>
      </c>
      <c r="J132" s="8">
        <v>4934901.96</v>
      </c>
      <c r="K132" s="8">
        <v>4840000</v>
      </c>
      <c r="L132" s="8">
        <v>4745098.04</v>
      </c>
      <c r="M132" s="8">
        <v>4650196.08</v>
      </c>
      <c r="N132" s="8">
        <v>4555294.12</v>
      </c>
      <c r="O132" s="8">
        <v>4460392.16</v>
      </c>
      <c r="P132" s="8">
        <v>4365490.2</v>
      </c>
      <c r="Q132" s="8">
        <v>4270588.24</v>
      </c>
    </row>
    <row r="133" spans="1:17" ht="12.75">
      <c r="A133" s="152" t="s">
        <v>202</v>
      </c>
      <c r="B133" s="207"/>
      <c r="C133" s="207"/>
      <c r="D133" s="208"/>
      <c r="E133" s="8">
        <f>E132+E131+E130+E129+E128+E127+E126</f>
        <v>111644115.32000001</v>
      </c>
      <c r="F133" s="8">
        <f>F132+F131+F130+F129+F128+F127+F126</f>
        <v>109111065.13</v>
      </c>
      <c r="G133" s="8">
        <f aca="true" t="shared" si="9" ref="G133:P133">G132+G131+G130+G129+G128+G127+G126</f>
        <v>106578014.94999999</v>
      </c>
      <c r="H133" s="8">
        <f t="shared" si="9"/>
        <v>104044964.74000001</v>
      </c>
      <c r="I133" s="8">
        <f t="shared" si="9"/>
        <v>101511914.55</v>
      </c>
      <c r="J133" s="8">
        <f t="shared" si="9"/>
        <v>98978864.38</v>
      </c>
      <c r="K133" s="8">
        <f t="shared" si="9"/>
        <v>96445814.19</v>
      </c>
      <c r="L133" s="8">
        <f t="shared" si="9"/>
        <v>93912764</v>
      </c>
      <c r="M133" s="8">
        <f>M132+M131+M130+M129+M128+M127+M126</f>
        <v>93463047.16</v>
      </c>
      <c r="N133" s="8">
        <f>N132+N131+N130+N129+N128+N127+N126</f>
        <v>90873690.66</v>
      </c>
      <c r="O133" s="8">
        <f t="shared" si="9"/>
        <v>88284334.16999999</v>
      </c>
      <c r="P133" s="8">
        <f t="shared" si="9"/>
        <v>85694977.67</v>
      </c>
      <c r="Q133" s="8">
        <f>Q132+Q131+Q130+Q129+Q128+Q127+Q126</f>
        <v>83105621.2</v>
      </c>
    </row>
    <row r="134" spans="1:17" ht="13.5" thickBot="1">
      <c r="A134" s="249" t="s">
        <v>201</v>
      </c>
      <c r="B134" s="250"/>
      <c r="C134" s="250"/>
      <c r="D134" s="251"/>
      <c r="E134" s="14"/>
      <c r="F134" s="14"/>
      <c r="G134" s="14"/>
      <c r="H134" s="16">
        <f>(E133+F133+G133+H133)/4/100*2.2</f>
        <v>2372579.88077</v>
      </c>
      <c r="I134" s="14"/>
      <c r="J134" s="14"/>
      <c r="K134" s="16">
        <f>(E133+F133+G133+H133+I133+J133+K133)/7/100*2.2</f>
        <v>2288989.224531429</v>
      </c>
      <c r="L134" s="14"/>
      <c r="M134" s="14"/>
      <c r="N134" s="16">
        <f>(E133+F133+G133+H133+I133+J133+K133+L133+M133+N133)/10/100*2.2</f>
        <v>2214441.361176</v>
      </c>
      <c r="O134" s="14"/>
      <c r="P134" s="14"/>
      <c r="Q134" s="16">
        <f>(E133+F133+G133+H133+I133+J133+K133+L133+M133+N133+O133+P133+Q133)/13/100*2.2-H134-K134-N134</f>
        <v>-4737527.225043583</v>
      </c>
    </row>
    <row r="135" spans="1:17" ht="13.5" thickBot="1">
      <c r="A135" s="252" t="s">
        <v>196</v>
      </c>
      <c r="B135" s="253"/>
      <c r="C135" s="253"/>
      <c r="D135" s="253"/>
      <c r="E135" s="253"/>
      <c r="F135" s="253"/>
      <c r="G135" s="253"/>
      <c r="H135" s="253"/>
      <c r="I135" s="253"/>
      <c r="J135" s="253"/>
      <c r="K135" s="253"/>
      <c r="L135" s="253"/>
      <c r="M135" s="253"/>
      <c r="N135" s="253"/>
      <c r="O135" s="253"/>
      <c r="P135" s="253"/>
      <c r="Q135" s="254"/>
    </row>
    <row r="136" spans="1:17" ht="12.75">
      <c r="A136" s="255" t="s">
        <v>199</v>
      </c>
      <c r="B136" s="256"/>
      <c r="C136" s="256"/>
      <c r="D136" s="257"/>
      <c r="E136" s="29">
        <v>48214</v>
      </c>
      <c r="F136" s="29">
        <v>48245</v>
      </c>
      <c r="G136" s="29">
        <v>48274</v>
      </c>
      <c r="H136" s="29">
        <v>48305</v>
      </c>
      <c r="I136" s="29">
        <v>48335</v>
      </c>
      <c r="J136" s="29">
        <v>48366</v>
      </c>
      <c r="K136" s="29">
        <v>48396</v>
      </c>
      <c r="L136" s="29">
        <v>48427</v>
      </c>
      <c r="M136" s="29">
        <v>48458</v>
      </c>
      <c r="N136" s="29">
        <v>48488</v>
      </c>
      <c r="O136" s="29">
        <v>48519</v>
      </c>
      <c r="P136" s="29">
        <v>48549</v>
      </c>
      <c r="Q136" s="29">
        <v>48580</v>
      </c>
    </row>
    <row r="137" spans="1:17" ht="12.75">
      <c r="A137" s="152" t="s">
        <v>200</v>
      </c>
      <c r="B137" s="207"/>
      <c r="C137" s="207"/>
      <c r="D137" s="208"/>
      <c r="E137" s="13">
        <v>1858108.11</v>
      </c>
      <c r="F137" s="8">
        <v>1801801.8</v>
      </c>
      <c r="G137" s="8">
        <v>1745495.49</v>
      </c>
      <c r="H137" s="8">
        <v>1689189.19</v>
      </c>
      <c r="I137" s="13">
        <v>1632882.88</v>
      </c>
      <c r="J137" s="13">
        <v>1576576.57</v>
      </c>
      <c r="K137" s="13">
        <v>1520270.27</v>
      </c>
      <c r="L137" s="13">
        <v>1463963.96</v>
      </c>
      <c r="M137" s="13">
        <v>1407657.66</v>
      </c>
      <c r="N137" s="24">
        <v>1351351.35</v>
      </c>
      <c r="O137" s="8">
        <v>1295045.04</v>
      </c>
      <c r="P137" s="8">
        <v>1238738.74</v>
      </c>
      <c r="Q137" s="8">
        <v>1182432.43</v>
      </c>
    </row>
    <row r="138" spans="1:17" ht="12.75">
      <c r="A138" s="152" t="s">
        <v>178</v>
      </c>
      <c r="B138" s="207"/>
      <c r="C138" s="207"/>
      <c r="D138" s="208"/>
      <c r="E138" s="13">
        <v>7727651.63</v>
      </c>
      <c r="F138" s="27">
        <v>6869023.67</v>
      </c>
      <c r="G138" s="27">
        <v>6010395.71</v>
      </c>
      <c r="H138" s="27">
        <v>5151767.75</v>
      </c>
      <c r="I138" s="27">
        <v>4293139.8</v>
      </c>
      <c r="J138" s="27">
        <v>3434511.84</v>
      </c>
      <c r="K138" s="27">
        <v>2575883.88</v>
      </c>
      <c r="L138" s="27">
        <v>1717255.92</v>
      </c>
      <c r="M138" s="27">
        <v>858627.96</v>
      </c>
      <c r="N138" s="27"/>
      <c r="O138" s="27"/>
      <c r="P138" s="27"/>
      <c r="Q138" s="27"/>
    </row>
    <row r="139" spans="1:17" ht="12.75">
      <c r="A139" s="152" t="s">
        <v>179</v>
      </c>
      <c r="B139" s="207"/>
      <c r="C139" s="207"/>
      <c r="D139" s="208"/>
      <c r="E139" s="28">
        <v>15722152.15</v>
      </c>
      <c r="F139" s="28">
        <v>15638966.16</v>
      </c>
      <c r="G139" s="28">
        <v>15555780.17</v>
      </c>
      <c r="H139" s="28">
        <v>15472594.18</v>
      </c>
      <c r="I139" s="28">
        <v>15389408.19</v>
      </c>
      <c r="J139" s="28">
        <v>15306222.2</v>
      </c>
      <c r="K139" s="28">
        <v>15223036.21</v>
      </c>
      <c r="L139" s="28">
        <v>15139850.22</v>
      </c>
      <c r="M139" s="28">
        <v>15056664.23</v>
      </c>
      <c r="N139" s="28">
        <v>14973478.24</v>
      </c>
      <c r="O139" s="28">
        <v>14890292.25</v>
      </c>
      <c r="P139" s="28">
        <v>14807106.26</v>
      </c>
      <c r="Q139" s="28">
        <v>14723920.27</v>
      </c>
    </row>
    <row r="140" spans="1:17" ht="12.75">
      <c r="A140" s="152" t="s">
        <v>180</v>
      </c>
      <c r="B140" s="207"/>
      <c r="C140" s="207"/>
      <c r="D140" s="208"/>
      <c r="E140" s="27">
        <v>6263529.42</v>
      </c>
      <c r="F140" s="26">
        <v>6073725.5</v>
      </c>
      <c r="G140" s="26">
        <v>5883921.58</v>
      </c>
      <c r="H140" s="26">
        <v>5694117.64</v>
      </c>
      <c r="I140" s="26">
        <v>5504313.72</v>
      </c>
      <c r="J140" s="26">
        <v>5314509.8</v>
      </c>
      <c r="K140" s="26">
        <v>5124705.88</v>
      </c>
      <c r="L140" s="26">
        <v>4934901.96</v>
      </c>
      <c r="M140" s="26">
        <v>16133333.34</v>
      </c>
      <c r="N140" s="26">
        <v>15943529.42</v>
      </c>
      <c r="O140" s="26">
        <v>15753725.5</v>
      </c>
      <c r="P140" s="26">
        <v>15563921.58</v>
      </c>
      <c r="Q140" s="26">
        <v>15374117.66</v>
      </c>
    </row>
    <row r="141" spans="1:17" ht="12.75">
      <c r="A141" s="152" t="s">
        <v>184</v>
      </c>
      <c r="B141" s="207"/>
      <c r="C141" s="207"/>
      <c r="D141" s="208"/>
      <c r="E141" s="27">
        <v>25124051.13</v>
      </c>
      <c r="F141" s="27">
        <v>23927667.74</v>
      </c>
      <c r="G141" s="27">
        <v>22731284.35</v>
      </c>
      <c r="H141" s="27">
        <v>21534900.97</v>
      </c>
      <c r="I141" s="27">
        <v>20338517.58</v>
      </c>
      <c r="J141" s="27">
        <v>19142134.19</v>
      </c>
      <c r="K141" s="27">
        <v>17945750.81</v>
      </c>
      <c r="L141" s="27">
        <v>16749367.42</v>
      </c>
      <c r="M141" s="27">
        <v>15552984.03</v>
      </c>
      <c r="N141" s="27">
        <v>14356600.64</v>
      </c>
      <c r="O141" s="27">
        <v>13160217.26</v>
      </c>
      <c r="P141" s="27">
        <v>11963833.87</v>
      </c>
      <c r="Q141" s="27">
        <v>10767450.48</v>
      </c>
    </row>
    <row r="142" spans="1:17" ht="12.75">
      <c r="A142" s="152" t="s">
        <v>185</v>
      </c>
      <c r="B142" s="207"/>
      <c r="C142" s="207"/>
      <c r="D142" s="208"/>
      <c r="E142" s="27">
        <v>22139540.52</v>
      </c>
      <c r="F142" s="27">
        <v>22029393.55</v>
      </c>
      <c r="G142" s="27">
        <v>21919246.58</v>
      </c>
      <c r="H142" s="27">
        <v>21809099.61</v>
      </c>
      <c r="I142" s="27">
        <v>21698952.64</v>
      </c>
      <c r="J142" s="27">
        <v>21588805.68</v>
      </c>
      <c r="K142" s="27">
        <v>21478658.71</v>
      </c>
      <c r="L142" s="27">
        <v>21368511.74</v>
      </c>
      <c r="M142" s="27">
        <v>21258364.77</v>
      </c>
      <c r="N142" s="27">
        <v>21148217.81</v>
      </c>
      <c r="O142" s="27">
        <v>21038070.84</v>
      </c>
      <c r="P142" s="27">
        <v>20927923.87</v>
      </c>
      <c r="Q142" s="27">
        <v>20817776.9</v>
      </c>
    </row>
    <row r="143" spans="1:17" ht="12.75">
      <c r="A143" s="152" t="s">
        <v>186</v>
      </c>
      <c r="B143" s="207"/>
      <c r="C143" s="207"/>
      <c r="D143" s="208"/>
      <c r="E143" s="8">
        <v>4270588.24</v>
      </c>
      <c r="F143" s="8">
        <v>4175686.28</v>
      </c>
      <c r="G143" s="8">
        <v>4080784.32</v>
      </c>
      <c r="H143" s="8">
        <v>3985882.35</v>
      </c>
      <c r="I143" s="8">
        <v>3890890.39</v>
      </c>
      <c r="J143" s="8">
        <v>3796078.43</v>
      </c>
      <c r="K143" s="8">
        <v>3701176.47</v>
      </c>
      <c r="L143" s="8">
        <v>3606274.51</v>
      </c>
      <c r="M143" s="8">
        <v>3511372.55</v>
      </c>
      <c r="N143" s="8">
        <v>3416470.59</v>
      </c>
      <c r="O143" s="8">
        <v>3321568.63</v>
      </c>
      <c r="P143" s="8">
        <v>3226666.67</v>
      </c>
      <c r="Q143" s="8">
        <v>3131764.71</v>
      </c>
    </row>
    <row r="144" spans="1:17" ht="12.75">
      <c r="A144" s="152" t="s">
        <v>202</v>
      </c>
      <c r="B144" s="207"/>
      <c r="C144" s="207"/>
      <c r="D144" s="208"/>
      <c r="E144" s="8">
        <f aca="true" t="shared" si="10" ref="E144:Q144">E143+E142+E141+E140+E139+E138+E137</f>
        <v>83105621.2</v>
      </c>
      <c r="F144" s="8">
        <f t="shared" si="10"/>
        <v>80516264.7</v>
      </c>
      <c r="G144" s="8">
        <f t="shared" si="10"/>
        <v>77926908.19999999</v>
      </c>
      <c r="H144" s="8">
        <f t="shared" si="10"/>
        <v>75337551.69</v>
      </c>
      <c r="I144" s="8">
        <f t="shared" si="10"/>
        <v>72748105.19999999</v>
      </c>
      <c r="J144" s="8">
        <f t="shared" si="10"/>
        <v>70158838.71</v>
      </c>
      <c r="K144" s="8">
        <f t="shared" si="10"/>
        <v>67569482.23</v>
      </c>
      <c r="L144" s="8">
        <f t="shared" si="10"/>
        <v>64980125.730000004</v>
      </c>
      <c r="M144" s="8">
        <f t="shared" si="10"/>
        <v>73779004.53999999</v>
      </c>
      <c r="N144" s="8">
        <f t="shared" si="10"/>
        <v>71189648.05</v>
      </c>
      <c r="O144" s="8">
        <f t="shared" si="10"/>
        <v>69458919.52</v>
      </c>
      <c r="P144" s="8">
        <f t="shared" si="10"/>
        <v>67728190.99</v>
      </c>
      <c r="Q144" s="8">
        <f t="shared" si="10"/>
        <v>65997462.449999996</v>
      </c>
    </row>
    <row r="145" spans="1:17" ht="13.5" thickBot="1">
      <c r="A145" s="249" t="s">
        <v>201</v>
      </c>
      <c r="B145" s="250"/>
      <c r="C145" s="250"/>
      <c r="D145" s="251"/>
      <c r="E145" s="14"/>
      <c r="F145" s="14"/>
      <c r="G145" s="14"/>
      <c r="H145" s="16">
        <f>(E144+F144+G144+H144)/4/100*2.2</f>
        <v>1742874.901845</v>
      </c>
      <c r="I145" s="14"/>
      <c r="J145" s="14"/>
      <c r="K145" s="16">
        <f>(E144+F144+G144+H144+I144+J144+K144)/7/100*2.2</f>
        <v>1657425.8546371427</v>
      </c>
      <c r="L145" s="14"/>
      <c r="M145" s="14"/>
      <c r="N145" s="16">
        <f>(E144+F144+G144+H144+I144+J144+K144+L144+M144+N144)/10/100*2.2</f>
        <v>1622085.41055</v>
      </c>
      <c r="O145" s="14"/>
      <c r="P145" s="14"/>
      <c r="Q145" s="16">
        <f>(E144+F144+G144+H144+I144+J144+K144+L144+M144+N144+O144+P144+Q144)/13/100*2.2-H145-K145-N145</f>
        <v>-3430777.3431382966</v>
      </c>
    </row>
    <row r="146" spans="1:17" ht="13.5" thickBot="1">
      <c r="A146" s="252" t="s">
        <v>197</v>
      </c>
      <c r="B146" s="253"/>
      <c r="C146" s="253"/>
      <c r="D146" s="253"/>
      <c r="E146" s="253"/>
      <c r="F146" s="253"/>
      <c r="G146" s="253"/>
      <c r="H146" s="253"/>
      <c r="I146" s="253"/>
      <c r="J146" s="253"/>
      <c r="K146" s="253"/>
      <c r="L146" s="253"/>
      <c r="M146" s="253"/>
      <c r="N146" s="253"/>
      <c r="O146" s="253"/>
      <c r="P146" s="253"/>
      <c r="Q146" s="254"/>
    </row>
    <row r="147" spans="1:17" ht="12.75">
      <c r="A147" s="255" t="s">
        <v>199</v>
      </c>
      <c r="B147" s="256"/>
      <c r="C147" s="256"/>
      <c r="D147" s="257"/>
      <c r="E147" s="29">
        <v>48580</v>
      </c>
      <c r="F147" s="29">
        <v>48611</v>
      </c>
      <c r="G147" s="29">
        <v>48639</v>
      </c>
      <c r="H147" s="29">
        <v>48670</v>
      </c>
      <c r="I147" s="29">
        <v>48700</v>
      </c>
      <c r="J147" s="29">
        <v>48731</v>
      </c>
      <c r="K147" s="29">
        <v>48761</v>
      </c>
      <c r="L147" s="29">
        <v>48792</v>
      </c>
      <c r="M147" s="29">
        <v>48823</v>
      </c>
      <c r="N147" s="29">
        <v>48853</v>
      </c>
      <c r="O147" s="29">
        <v>48884</v>
      </c>
      <c r="P147" s="29">
        <v>48914</v>
      </c>
      <c r="Q147" s="29">
        <v>48945</v>
      </c>
    </row>
    <row r="148" spans="1:17" ht="12.75">
      <c r="A148" s="152" t="s">
        <v>200</v>
      </c>
      <c r="B148" s="207"/>
      <c r="C148" s="207"/>
      <c r="D148" s="208"/>
      <c r="E148" s="13">
        <v>1182432.43</v>
      </c>
      <c r="F148" s="26">
        <v>1126126.12</v>
      </c>
      <c r="G148" s="26">
        <v>1069819.82</v>
      </c>
      <c r="H148" s="26">
        <v>1013513.51</v>
      </c>
      <c r="I148" s="26">
        <v>957207.21</v>
      </c>
      <c r="J148" s="26">
        <v>900900.9</v>
      </c>
      <c r="K148" s="26">
        <v>844594.59</v>
      </c>
      <c r="L148" s="26">
        <v>788288.29</v>
      </c>
      <c r="M148" s="26">
        <v>731981.98</v>
      </c>
      <c r="N148" s="26">
        <v>675675.67</v>
      </c>
      <c r="O148" s="26">
        <v>619369.37</v>
      </c>
      <c r="P148" s="26">
        <v>563063.06</v>
      </c>
      <c r="Q148" s="26">
        <v>506756.76</v>
      </c>
    </row>
    <row r="149" spans="1:17" ht="12.75">
      <c r="A149" s="152" t="s">
        <v>179</v>
      </c>
      <c r="B149" s="207"/>
      <c r="C149" s="207"/>
      <c r="D149" s="208"/>
      <c r="E149" s="28">
        <v>14890292.25</v>
      </c>
      <c r="F149" s="28">
        <v>14807106.26</v>
      </c>
      <c r="G149" s="28">
        <v>14723920.27</v>
      </c>
      <c r="H149" s="28">
        <v>14640734.28</v>
      </c>
      <c r="I149" s="28">
        <v>14557548.28</v>
      </c>
      <c r="J149" s="28">
        <v>14474362.29</v>
      </c>
      <c r="K149" s="28">
        <v>15223036.21</v>
      </c>
      <c r="L149" s="28">
        <v>15139850.22</v>
      </c>
      <c r="M149" s="28">
        <v>15056664.23</v>
      </c>
      <c r="N149" s="28">
        <v>14973478.24</v>
      </c>
      <c r="O149" s="28">
        <v>14890292.25</v>
      </c>
      <c r="P149" s="28">
        <v>14807106.26</v>
      </c>
      <c r="Q149" s="28">
        <v>14723920.27</v>
      </c>
    </row>
    <row r="150" spans="1:17" ht="12.75">
      <c r="A150" s="152" t="s">
        <v>180</v>
      </c>
      <c r="B150" s="207"/>
      <c r="C150" s="207"/>
      <c r="D150" s="208"/>
      <c r="E150" s="27">
        <v>15374117.66</v>
      </c>
      <c r="F150" s="26">
        <v>15184313.74</v>
      </c>
      <c r="G150" s="26">
        <v>14994509.82</v>
      </c>
      <c r="H150" s="26">
        <v>14804705.88</v>
      </c>
      <c r="I150" s="26">
        <v>14614901.96</v>
      </c>
      <c r="J150" s="26">
        <v>14425098.04</v>
      </c>
      <c r="K150" s="26">
        <v>14235294.12</v>
      </c>
      <c r="L150" s="26">
        <v>14045490.2</v>
      </c>
      <c r="M150" s="26">
        <v>13855686.28</v>
      </c>
      <c r="N150" s="26">
        <v>13665882.36</v>
      </c>
      <c r="O150" s="26">
        <v>13476078.44</v>
      </c>
      <c r="P150" s="26">
        <v>13286274.52</v>
      </c>
      <c r="Q150" s="26">
        <v>13096470.6</v>
      </c>
    </row>
    <row r="151" spans="1:17" ht="12.75">
      <c r="A151" s="152" t="s">
        <v>184</v>
      </c>
      <c r="B151" s="207"/>
      <c r="C151" s="207"/>
      <c r="D151" s="208"/>
      <c r="E151" s="27">
        <v>10767450.48</v>
      </c>
      <c r="F151" s="27">
        <v>9571067.1</v>
      </c>
      <c r="G151" s="27">
        <v>8374683.71</v>
      </c>
      <c r="H151" s="27">
        <v>7178300.32</v>
      </c>
      <c r="I151" s="27">
        <v>5981916.94</v>
      </c>
      <c r="J151" s="27">
        <v>4785533.55</v>
      </c>
      <c r="K151" s="27">
        <v>3589150.16</v>
      </c>
      <c r="L151" s="27">
        <v>2392766.77</v>
      </c>
      <c r="M151" s="27">
        <v>1196383.39</v>
      </c>
      <c r="N151" s="27"/>
      <c r="O151" s="27"/>
      <c r="P151" s="27"/>
      <c r="Q151" s="27"/>
    </row>
    <row r="152" spans="1:17" ht="12.75">
      <c r="A152" s="152" t="s">
        <v>185</v>
      </c>
      <c r="B152" s="207"/>
      <c r="C152" s="207"/>
      <c r="D152" s="208"/>
      <c r="E152" s="27">
        <v>20817776.9</v>
      </c>
      <c r="F152" s="27">
        <v>20707629.94</v>
      </c>
      <c r="G152" s="27">
        <v>20597482.97</v>
      </c>
      <c r="H152" s="27">
        <v>20487336</v>
      </c>
      <c r="I152" s="27">
        <v>20377189.03</v>
      </c>
      <c r="J152" s="27">
        <v>20267042.06</v>
      </c>
      <c r="K152" s="27">
        <v>20156895.1</v>
      </c>
      <c r="L152" s="27">
        <v>20046748.13</v>
      </c>
      <c r="M152" s="27">
        <v>19936601.16</v>
      </c>
      <c r="N152" s="27">
        <v>19826454.19</v>
      </c>
      <c r="O152" s="27">
        <v>19716307.23</v>
      </c>
      <c r="P152" s="27">
        <v>19606160.26</v>
      </c>
      <c r="Q152" s="27">
        <v>19496013.29</v>
      </c>
    </row>
    <row r="153" spans="1:17" ht="12.75">
      <c r="A153" s="152" t="s">
        <v>186</v>
      </c>
      <c r="B153" s="207"/>
      <c r="C153" s="207"/>
      <c r="D153" s="208"/>
      <c r="E153" s="8">
        <v>3131764.71</v>
      </c>
      <c r="F153" s="8">
        <v>3036862.75</v>
      </c>
      <c r="G153" s="8">
        <v>2941960.79</v>
      </c>
      <c r="H153" s="8">
        <v>2847058.82</v>
      </c>
      <c r="I153" s="8">
        <v>2752156.86</v>
      </c>
      <c r="J153" s="8">
        <v>2657254.9</v>
      </c>
      <c r="K153" s="8">
        <v>2562352.94</v>
      </c>
      <c r="L153" s="8">
        <v>2467450.98</v>
      </c>
      <c r="M153" s="8">
        <v>8066666.67</v>
      </c>
      <c r="N153" s="8">
        <v>7971764.71</v>
      </c>
      <c r="O153" s="8">
        <v>7876862.75</v>
      </c>
      <c r="P153" s="8">
        <v>7781960.79</v>
      </c>
      <c r="Q153" s="8">
        <v>7687058.83</v>
      </c>
    </row>
    <row r="154" spans="1:17" ht="12.75">
      <c r="A154" s="152" t="s">
        <v>202</v>
      </c>
      <c r="B154" s="207"/>
      <c r="C154" s="207"/>
      <c r="D154" s="208"/>
      <c r="E154" s="8">
        <f aca="true" t="shared" si="11" ref="E154:Q154">E153+E152+E151+E150+E149+E148</f>
        <v>66163834.43</v>
      </c>
      <c r="F154" s="8">
        <f t="shared" si="11"/>
        <v>64433105.91</v>
      </c>
      <c r="G154" s="8">
        <f t="shared" si="11"/>
        <v>62702377.38</v>
      </c>
      <c r="H154" s="8">
        <f t="shared" si="11"/>
        <v>60971648.81</v>
      </c>
      <c r="I154" s="8">
        <f t="shared" si="11"/>
        <v>59240920.28000001</v>
      </c>
      <c r="J154" s="8">
        <f t="shared" si="11"/>
        <v>57510191.739999995</v>
      </c>
      <c r="K154" s="8">
        <f t="shared" si="11"/>
        <v>56611323.120000005</v>
      </c>
      <c r="L154" s="8">
        <f t="shared" si="11"/>
        <v>54880594.589999996</v>
      </c>
      <c r="M154" s="8">
        <f t="shared" si="11"/>
        <v>58843983.71</v>
      </c>
      <c r="N154" s="8">
        <f t="shared" si="11"/>
        <v>57113255.17000001</v>
      </c>
      <c r="O154" s="8">
        <f t="shared" si="11"/>
        <v>56578910.04</v>
      </c>
      <c r="P154" s="8">
        <f t="shared" si="11"/>
        <v>56044564.89</v>
      </c>
      <c r="Q154" s="8">
        <f t="shared" si="11"/>
        <v>55510219.74999999</v>
      </c>
    </row>
    <row r="155" spans="1:17" ht="13.5" thickBot="1">
      <c r="A155" s="249" t="s">
        <v>201</v>
      </c>
      <c r="B155" s="250"/>
      <c r="C155" s="250"/>
      <c r="D155" s="251"/>
      <c r="E155" s="14"/>
      <c r="F155" s="14"/>
      <c r="G155" s="14"/>
      <c r="H155" s="16">
        <f>(E154+F154+G154+H154)/4/100*2.2</f>
        <v>1398490.3159150002</v>
      </c>
      <c r="I155" s="14"/>
      <c r="J155" s="14"/>
      <c r="K155" s="16">
        <f>(E154+F154+G154+H154+I154+J154+K154)/7/100*2.2</f>
        <v>1343990.6909628573</v>
      </c>
      <c r="L155" s="14"/>
      <c r="M155" s="14"/>
      <c r="N155" s="16">
        <f>(E154+F154+G154+H154+I154+J154+K154+L154+M154+N154)/10/100*2.2</f>
        <v>1316636.7173080002</v>
      </c>
      <c r="O155" s="14"/>
      <c r="P155" s="14"/>
      <c r="Q155" s="16">
        <f>(E154+F154+G154+H154+I154+J154+K154+L154+M154+N154+O154+P154+Q154)/13/100*2.2-H155-K155-N155</f>
        <v>-2761786.304490473</v>
      </c>
    </row>
    <row r="156" spans="1:17" ht="13.5" thickBot="1">
      <c r="A156" s="252" t="s">
        <v>198</v>
      </c>
      <c r="B156" s="253"/>
      <c r="C156" s="253"/>
      <c r="D156" s="253"/>
      <c r="E156" s="253"/>
      <c r="F156" s="253"/>
      <c r="G156" s="253"/>
      <c r="H156" s="253"/>
      <c r="I156" s="253"/>
      <c r="J156" s="253"/>
      <c r="K156" s="253"/>
      <c r="L156" s="253"/>
      <c r="M156" s="253"/>
      <c r="N156" s="253"/>
      <c r="O156" s="253"/>
      <c r="P156" s="253"/>
      <c r="Q156" s="254"/>
    </row>
    <row r="157" spans="1:17" ht="12.75">
      <c r="A157" s="255" t="s">
        <v>199</v>
      </c>
      <c r="B157" s="256"/>
      <c r="C157" s="256"/>
      <c r="D157" s="257"/>
      <c r="E157" s="29">
        <v>48945</v>
      </c>
      <c r="F157" s="29">
        <v>48976</v>
      </c>
      <c r="G157" s="29">
        <v>49004</v>
      </c>
      <c r="H157" s="29">
        <v>49035</v>
      </c>
      <c r="I157" s="29">
        <v>49065</v>
      </c>
      <c r="J157" s="29">
        <v>49096</v>
      </c>
      <c r="K157" s="29">
        <v>49126</v>
      </c>
      <c r="L157" s="29">
        <v>49157</v>
      </c>
      <c r="M157" s="29">
        <v>49188</v>
      </c>
      <c r="N157" s="29">
        <v>49218</v>
      </c>
      <c r="O157" s="29">
        <v>49249</v>
      </c>
      <c r="P157" s="29">
        <v>49279</v>
      </c>
      <c r="Q157" s="29">
        <v>49310</v>
      </c>
    </row>
    <row r="158" spans="1:17" ht="12.75">
      <c r="A158" s="152" t="s">
        <v>200</v>
      </c>
      <c r="B158" s="207"/>
      <c r="C158" s="207"/>
      <c r="D158" s="208"/>
      <c r="E158" s="13">
        <v>506756.76</v>
      </c>
      <c r="F158" s="26">
        <v>450450.45</v>
      </c>
      <c r="G158" s="26">
        <v>394144.14</v>
      </c>
      <c r="H158" s="26">
        <v>337837.84</v>
      </c>
      <c r="I158" s="26">
        <v>281531.53</v>
      </c>
      <c r="J158" s="26">
        <v>225225.22</v>
      </c>
      <c r="K158" s="26">
        <v>168918.92</v>
      </c>
      <c r="L158" s="26">
        <v>112612.61</v>
      </c>
      <c r="M158" s="26">
        <v>56306.31</v>
      </c>
      <c r="N158" s="26"/>
      <c r="O158" s="26"/>
      <c r="P158" s="26"/>
      <c r="Q158" s="26"/>
    </row>
    <row r="159" spans="1:17" ht="12.75">
      <c r="A159" s="152" t="s">
        <v>179</v>
      </c>
      <c r="B159" s="207"/>
      <c r="C159" s="207"/>
      <c r="D159" s="208"/>
      <c r="E159" s="28">
        <v>14723920.27</v>
      </c>
      <c r="F159" s="28">
        <v>14640734.28</v>
      </c>
      <c r="G159" s="28">
        <v>14557548.28</v>
      </c>
      <c r="H159" s="28">
        <v>14474362.29</v>
      </c>
      <c r="I159" s="28">
        <v>14391176.3</v>
      </c>
      <c r="J159" s="28">
        <v>14307990.31</v>
      </c>
      <c r="K159" s="28">
        <v>14224804.32</v>
      </c>
      <c r="L159" s="28">
        <v>14141618.33</v>
      </c>
      <c r="M159" s="28">
        <v>14058432.34</v>
      </c>
      <c r="N159" s="28">
        <v>13975246.35</v>
      </c>
      <c r="O159" s="28">
        <v>13892060.36</v>
      </c>
      <c r="P159" s="28">
        <v>13808874.37</v>
      </c>
      <c r="Q159" s="28">
        <v>13725688.38</v>
      </c>
    </row>
    <row r="160" spans="1:17" ht="12.75">
      <c r="A160" s="152" t="s">
        <v>180</v>
      </c>
      <c r="B160" s="207"/>
      <c r="C160" s="207"/>
      <c r="D160" s="208"/>
      <c r="E160" s="27">
        <v>13096470.6</v>
      </c>
      <c r="F160" s="26">
        <v>12906666.68</v>
      </c>
      <c r="G160" s="26">
        <v>12716862.76</v>
      </c>
      <c r="H160" s="26">
        <v>12527058.82</v>
      </c>
      <c r="I160" s="26">
        <v>12337254.9</v>
      </c>
      <c r="J160" s="26">
        <v>12147450.98</v>
      </c>
      <c r="K160" s="26">
        <v>11957647.06</v>
      </c>
      <c r="L160" s="26">
        <v>11767843.14</v>
      </c>
      <c r="M160" s="26">
        <v>11578039.22</v>
      </c>
      <c r="N160" s="26">
        <v>11388235.3</v>
      </c>
      <c r="O160" s="26">
        <v>11198431.38</v>
      </c>
      <c r="P160" s="26">
        <v>11008627.46</v>
      </c>
      <c r="Q160" s="26">
        <v>10818823.54</v>
      </c>
    </row>
    <row r="161" spans="1:17" ht="12.75">
      <c r="A161" s="152" t="s">
        <v>185</v>
      </c>
      <c r="B161" s="207"/>
      <c r="C161" s="207"/>
      <c r="D161" s="208"/>
      <c r="E161" s="27">
        <v>19496013.29</v>
      </c>
      <c r="F161" s="27">
        <v>19385866.32</v>
      </c>
      <c r="G161" s="27">
        <v>19275719.35</v>
      </c>
      <c r="H161" s="27">
        <v>19165572.39</v>
      </c>
      <c r="I161" s="27">
        <v>19055425.42</v>
      </c>
      <c r="J161" s="27">
        <v>18945278.45</v>
      </c>
      <c r="K161" s="27">
        <v>18835131.48</v>
      </c>
      <c r="L161" s="27">
        <v>18724984.52</v>
      </c>
      <c r="M161" s="27">
        <v>18614837.55</v>
      </c>
      <c r="N161" s="27">
        <v>18504690.58</v>
      </c>
      <c r="O161" s="27">
        <v>18394543.61</v>
      </c>
      <c r="P161" s="27">
        <v>18284396.64</v>
      </c>
      <c r="Q161" s="27">
        <v>18174249.68</v>
      </c>
    </row>
    <row r="162" spans="1:17" ht="12.75">
      <c r="A162" s="152" t="s">
        <v>186</v>
      </c>
      <c r="B162" s="207"/>
      <c r="C162" s="207"/>
      <c r="D162" s="208"/>
      <c r="E162" s="8">
        <v>7687058.83</v>
      </c>
      <c r="F162" s="8">
        <v>7592156.87</v>
      </c>
      <c r="G162" s="8">
        <v>7497254.91</v>
      </c>
      <c r="H162" s="8">
        <v>7402352.94</v>
      </c>
      <c r="I162" s="8">
        <v>7307450.98</v>
      </c>
      <c r="J162" s="8">
        <v>7212549.02</v>
      </c>
      <c r="K162" s="8">
        <v>7117647.06</v>
      </c>
      <c r="L162" s="8">
        <v>7022745.1</v>
      </c>
      <c r="M162" s="8">
        <v>6927843.14</v>
      </c>
      <c r="N162" s="8">
        <v>6832941.18</v>
      </c>
      <c r="O162" s="8">
        <v>6738039.22</v>
      </c>
      <c r="P162" s="8">
        <v>6643137.26</v>
      </c>
      <c r="Q162" s="8">
        <v>6548235.3</v>
      </c>
    </row>
    <row r="163" spans="1:17" ht="12.75">
      <c r="A163" s="152" t="s">
        <v>202</v>
      </c>
      <c r="B163" s="207"/>
      <c r="C163" s="207"/>
      <c r="D163" s="208"/>
      <c r="E163" s="8">
        <f aca="true" t="shared" si="12" ref="E163:Q163">E162+E161+E160+E159+E158</f>
        <v>55510219.74999999</v>
      </c>
      <c r="F163" s="8">
        <f t="shared" si="12"/>
        <v>54975874.60000001</v>
      </c>
      <c r="G163" s="8">
        <f t="shared" si="12"/>
        <v>54441529.440000005</v>
      </c>
      <c r="H163" s="8">
        <f t="shared" si="12"/>
        <v>53907184.28000001</v>
      </c>
      <c r="I163" s="8">
        <f t="shared" si="12"/>
        <v>53372839.13000001</v>
      </c>
      <c r="J163" s="8">
        <f t="shared" si="12"/>
        <v>52838493.980000004</v>
      </c>
      <c r="K163" s="8">
        <f t="shared" si="12"/>
        <v>52304148.84</v>
      </c>
      <c r="L163" s="8">
        <f t="shared" si="12"/>
        <v>51769803.699999996</v>
      </c>
      <c r="M163" s="8">
        <f t="shared" si="12"/>
        <v>51235458.56</v>
      </c>
      <c r="N163" s="8">
        <f t="shared" si="12"/>
        <v>50701113.410000004</v>
      </c>
      <c r="O163" s="8">
        <f t="shared" si="12"/>
        <v>50223074.57</v>
      </c>
      <c r="P163" s="8">
        <f t="shared" si="12"/>
        <v>49745035.73</v>
      </c>
      <c r="Q163" s="8">
        <f t="shared" si="12"/>
        <v>49266996.9</v>
      </c>
    </row>
    <row r="164" spans="1:17" ht="13.5" thickBot="1">
      <c r="A164" s="249" t="s">
        <v>201</v>
      </c>
      <c r="B164" s="250"/>
      <c r="C164" s="250"/>
      <c r="D164" s="251"/>
      <c r="E164" s="14"/>
      <c r="F164" s="14"/>
      <c r="G164" s="14"/>
      <c r="H164" s="16">
        <f>(E163+F163+G163+H163)/4/100*2.2</f>
        <v>1203591.444385</v>
      </c>
      <c r="I164" s="14"/>
      <c r="J164" s="14"/>
      <c r="K164" s="16">
        <f>(E163+F163+G163+H163+I163+J163+K163)/7/100*2.2</f>
        <v>1185958.0543485715</v>
      </c>
      <c r="L164" s="14"/>
      <c r="M164" s="14"/>
      <c r="N164" s="16">
        <f>(E163+F163+G163+H163+I163+J163+K163+L163+M163+N163)/10/100*2.2</f>
        <v>1168324.6645179999</v>
      </c>
      <c r="O164" s="14"/>
      <c r="P164" s="14"/>
      <c r="Q164" s="16">
        <f>(E163+F163+G163+H163+I163+J163+K163+L163+M163+N163+O163+P163+Q163)/13/100*2.2-H164-K164-N164</f>
        <v>-2406611.1629761867</v>
      </c>
    </row>
    <row r="165" spans="1:17" ht="13.5" thickBot="1">
      <c r="A165" s="252" t="s">
        <v>203</v>
      </c>
      <c r="B165" s="253"/>
      <c r="C165" s="253"/>
      <c r="D165" s="253"/>
      <c r="E165" s="253"/>
      <c r="F165" s="253"/>
      <c r="G165" s="253"/>
      <c r="H165" s="253"/>
      <c r="I165" s="253"/>
      <c r="J165" s="253"/>
      <c r="K165" s="253"/>
      <c r="L165" s="253"/>
      <c r="M165" s="253"/>
      <c r="N165" s="253"/>
      <c r="O165" s="253"/>
      <c r="P165" s="253"/>
      <c r="Q165" s="254"/>
    </row>
    <row r="166" spans="1:17" ht="12.75">
      <c r="A166" s="255" t="s">
        <v>199</v>
      </c>
      <c r="B166" s="256"/>
      <c r="C166" s="256"/>
      <c r="D166" s="257"/>
      <c r="E166" s="29">
        <v>49310</v>
      </c>
      <c r="F166" s="29">
        <v>49341</v>
      </c>
      <c r="G166" s="29">
        <v>49369</v>
      </c>
      <c r="H166" s="29">
        <v>49400</v>
      </c>
      <c r="I166" s="29">
        <v>49430</v>
      </c>
      <c r="J166" s="29">
        <v>49461</v>
      </c>
      <c r="K166" s="29">
        <v>49491</v>
      </c>
      <c r="L166" s="29">
        <v>49522</v>
      </c>
      <c r="M166" s="29">
        <v>49553</v>
      </c>
      <c r="N166" s="29">
        <v>49583</v>
      </c>
      <c r="O166" s="29">
        <v>49614</v>
      </c>
      <c r="P166" s="29">
        <v>49644</v>
      </c>
      <c r="Q166" s="29">
        <v>49675</v>
      </c>
    </row>
    <row r="167" spans="1:17" ht="12.75">
      <c r="A167" s="152" t="s">
        <v>179</v>
      </c>
      <c r="B167" s="207"/>
      <c r="C167" s="207"/>
      <c r="D167" s="208"/>
      <c r="E167" s="28">
        <v>13725668.38</v>
      </c>
      <c r="F167" s="28">
        <v>13642502.39</v>
      </c>
      <c r="G167" s="28">
        <v>13559316.4</v>
      </c>
      <c r="H167" s="28">
        <v>13476130.41</v>
      </c>
      <c r="I167" s="28">
        <v>13392944.42</v>
      </c>
      <c r="J167" s="28">
        <v>13309758.43</v>
      </c>
      <c r="K167" s="28">
        <v>13226572.44</v>
      </c>
      <c r="L167" s="28">
        <v>13143386.45</v>
      </c>
      <c r="M167" s="28">
        <v>13060200.46</v>
      </c>
      <c r="N167" s="28">
        <v>12977014.47</v>
      </c>
      <c r="O167" s="28">
        <v>12893828.48</v>
      </c>
      <c r="P167" s="28">
        <v>12810642.49</v>
      </c>
      <c r="Q167" s="28">
        <v>12727456.5</v>
      </c>
    </row>
    <row r="168" spans="1:17" ht="12.75">
      <c r="A168" s="152" t="s">
        <v>180</v>
      </c>
      <c r="B168" s="207"/>
      <c r="C168" s="207"/>
      <c r="D168" s="208"/>
      <c r="E168" s="27">
        <v>10818823.54</v>
      </c>
      <c r="F168" s="26">
        <v>10629019.62</v>
      </c>
      <c r="G168" s="26">
        <v>10439215.7</v>
      </c>
      <c r="H168" s="26">
        <v>10249411.76</v>
      </c>
      <c r="I168" s="26">
        <v>10059607.84</v>
      </c>
      <c r="J168" s="26">
        <v>9869803.92</v>
      </c>
      <c r="K168" s="26">
        <v>9680000</v>
      </c>
      <c r="L168" s="26">
        <v>9490196.08</v>
      </c>
      <c r="M168" s="26">
        <v>9300392.16</v>
      </c>
      <c r="N168" s="26">
        <v>9110588.24</v>
      </c>
      <c r="O168" s="26">
        <v>8920784.32</v>
      </c>
      <c r="P168" s="26">
        <v>8730980.4</v>
      </c>
      <c r="Q168" s="26">
        <v>8541176.48</v>
      </c>
    </row>
    <row r="169" spans="1:17" ht="12.75">
      <c r="A169" s="152" t="s">
        <v>185</v>
      </c>
      <c r="B169" s="207"/>
      <c r="C169" s="207"/>
      <c r="D169" s="208"/>
      <c r="E169" s="27">
        <v>18174249.68</v>
      </c>
      <c r="F169" s="27">
        <v>18064102.71</v>
      </c>
      <c r="G169" s="27">
        <v>17953955.74</v>
      </c>
      <c r="H169" s="27">
        <v>17843808.77</v>
      </c>
      <c r="I169" s="27">
        <v>17733661.81</v>
      </c>
      <c r="J169" s="27">
        <v>17623514.84</v>
      </c>
      <c r="K169" s="27">
        <v>17513367.87</v>
      </c>
      <c r="L169" s="27">
        <v>17403220.9</v>
      </c>
      <c r="M169" s="27">
        <v>17293073.94</v>
      </c>
      <c r="N169" s="27">
        <v>17182926.97</v>
      </c>
      <c r="O169" s="27">
        <v>17072780</v>
      </c>
      <c r="P169" s="27">
        <v>16962633.03</v>
      </c>
      <c r="Q169" s="27">
        <v>16852486.06</v>
      </c>
    </row>
    <row r="170" spans="1:17" ht="12.75">
      <c r="A170" s="152" t="s">
        <v>186</v>
      </c>
      <c r="B170" s="207"/>
      <c r="C170" s="207"/>
      <c r="D170" s="208"/>
      <c r="E170" s="8">
        <v>6548235.3</v>
      </c>
      <c r="F170" s="8">
        <v>6453333.34</v>
      </c>
      <c r="G170" s="8">
        <v>6358431.38</v>
      </c>
      <c r="H170" s="8">
        <v>6263529.41</v>
      </c>
      <c r="I170" s="8">
        <v>6168627.45</v>
      </c>
      <c r="J170" s="8">
        <v>6073725.49</v>
      </c>
      <c r="K170" s="8">
        <v>5978823.53</v>
      </c>
      <c r="L170" s="8">
        <v>5883921.57</v>
      </c>
      <c r="M170" s="8">
        <v>5789019.61</v>
      </c>
      <c r="N170" s="8">
        <v>5694117.65</v>
      </c>
      <c r="O170" s="8">
        <v>5599215.69</v>
      </c>
      <c r="P170" s="8">
        <v>5504313.73</v>
      </c>
      <c r="Q170" s="8">
        <v>5409411.77</v>
      </c>
    </row>
    <row r="171" spans="1:17" ht="12.75">
      <c r="A171" s="152" t="s">
        <v>202</v>
      </c>
      <c r="B171" s="207"/>
      <c r="C171" s="207"/>
      <c r="D171" s="208"/>
      <c r="E171" s="8">
        <f aca="true" t="shared" si="13" ref="E171:Q171">E170+E169+E168+E167</f>
        <v>49266976.9</v>
      </c>
      <c r="F171" s="8">
        <f t="shared" si="13"/>
        <v>48788958.06</v>
      </c>
      <c r="G171" s="8">
        <f t="shared" si="13"/>
        <v>48310919.21999999</v>
      </c>
      <c r="H171" s="8">
        <f t="shared" si="13"/>
        <v>47832880.349999994</v>
      </c>
      <c r="I171" s="8">
        <f t="shared" si="13"/>
        <v>47354841.519999996</v>
      </c>
      <c r="J171" s="8">
        <f t="shared" si="13"/>
        <v>46876802.68</v>
      </c>
      <c r="K171" s="8">
        <f t="shared" si="13"/>
        <v>46398763.84</v>
      </c>
      <c r="L171" s="8">
        <f t="shared" si="13"/>
        <v>45920725</v>
      </c>
      <c r="M171" s="8">
        <f t="shared" si="13"/>
        <v>45442686.17</v>
      </c>
      <c r="N171" s="8">
        <f t="shared" si="13"/>
        <v>44964647.33</v>
      </c>
      <c r="O171" s="8">
        <f t="shared" si="13"/>
        <v>44486608.49</v>
      </c>
      <c r="P171" s="8">
        <f t="shared" si="13"/>
        <v>44008569.650000006</v>
      </c>
      <c r="Q171" s="8">
        <f t="shared" si="13"/>
        <v>43530530.81</v>
      </c>
    </row>
    <row r="172" spans="1:17" ht="13.5" thickBot="1">
      <c r="A172" s="249" t="s">
        <v>201</v>
      </c>
      <c r="B172" s="250"/>
      <c r="C172" s="250"/>
      <c r="D172" s="251"/>
      <c r="E172" s="14"/>
      <c r="F172" s="14"/>
      <c r="G172" s="14"/>
      <c r="H172" s="16">
        <f>(E171+F171+G171+H171)/4/100*2.2</f>
        <v>1068098.539915</v>
      </c>
      <c r="I172" s="14"/>
      <c r="J172" s="14"/>
      <c r="K172" s="16">
        <f>(E171+F171+G171+H171+I171+J171+K171)/7/100*2.2</f>
        <v>1052323.3052200002</v>
      </c>
      <c r="L172" s="14"/>
      <c r="M172" s="14"/>
      <c r="N172" s="16">
        <f>(E171+F171+G171+H171+I171+J171+K171+L171+M171+N171)/10/100*2.2</f>
        <v>1036548.0423540003</v>
      </c>
      <c r="O172" s="14"/>
      <c r="P172" s="14"/>
      <c r="Q172" s="16">
        <f>(E171+F171+G171+H171+I171+J171+K171+L171+M171+N171+O171+P171+Q171)/13/100*2.2-H172-K172-N172</f>
        <v>-2136197.1166859237</v>
      </c>
    </row>
  </sheetData>
  <sheetProtection/>
  <mergeCells count="172">
    <mergeCell ref="A123:D123"/>
    <mergeCell ref="A124:Q124"/>
    <mergeCell ref="A119:D119"/>
    <mergeCell ref="A120:D120"/>
    <mergeCell ref="A121:D121"/>
    <mergeCell ref="A122:D122"/>
    <mergeCell ref="A116:D116"/>
    <mergeCell ref="A117:D117"/>
    <mergeCell ref="A118:D118"/>
    <mergeCell ref="A90:D90"/>
    <mergeCell ref="A95:D95"/>
    <mergeCell ref="A94:D94"/>
    <mergeCell ref="A93:D93"/>
    <mergeCell ref="A92:D92"/>
    <mergeCell ref="A91:D91"/>
    <mergeCell ref="A114:D114"/>
    <mergeCell ref="A113:Q113"/>
    <mergeCell ref="A112:D112"/>
    <mergeCell ref="A111:D111"/>
    <mergeCell ref="A110:D110"/>
    <mergeCell ref="A115:D115"/>
    <mergeCell ref="A83:D83"/>
    <mergeCell ref="A82:D82"/>
    <mergeCell ref="A100:D100"/>
    <mergeCell ref="A101:D101"/>
    <mergeCell ref="A89:D89"/>
    <mergeCell ref="A88:D88"/>
    <mergeCell ref="A87:D87"/>
    <mergeCell ref="A86:D86"/>
    <mergeCell ref="A85:Q85"/>
    <mergeCell ref="A84:D84"/>
    <mergeCell ref="A80:D80"/>
    <mergeCell ref="A81:D81"/>
    <mergeCell ref="A61:D61"/>
    <mergeCell ref="A62:D62"/>
    <mergeCell ref="A63:D63"/>
    <mergeCell ref="A64:D64"/>
    <mergeCell ref="A74:D74"/>
    <mergeCell ref="A75:D75"/>
    <mergeCell ref="A76:D76"/>
    <mergeCell ref="A77:D77"/>
    <mergeCell ref="A78:D78"/>
    <mergeCell ref="A79:D79"/>
    <mergeCell ref="A65:D65"/>
    <mergeCell ref="A66:D66"/>
    <mergeCell ref="A67:D67"/>
    <mergeCell ref="A73:D73"/>
    <mergeCell ref="A72:D72"/>
    <mergeCell ref="A71:Q71"/>
    <mergeCell ref="A70:D70"/>
    <mergeCell ref="A69:D69"/>
    <mergeCell ref="A68:D68"/>
    <mergeCell ref="A51:D51"/>
    <mergeCell ref="A52:D52"/>
    <mergeCell ref="A45:D45"/>
    <mergeCell ref="A46:D46"/>
    <mergeCell ref="A47:D47"/>
    <mergeCell ref="A48:D48"/>
    <mergeCell ref="A50:D50"/>
    <mergeCell ref="A49:D49"/>
    <mergeCell ref="A60:D60"/>
    <mergeCell ref="A59:D59"/>
    <mergeCell ref="A53:D53"/>
    <mergeCell ref="A54:D54"/>
    <mergeCell ref="A55:D55"/>
    <mergeCell ref="A56:D56"/>
    <mergeCell ref="A57:Q57"/>
    <mergeCell ref="A58:D58"/>
    <mergeCell ref="A2:Q2"/>
    <mergeCell ref="A3:D3"/>
    <mergeCell ref="A4:D4"/>
    <mergeCell ref="A5:D5"/>
    <mergeCell ref="A7:D7"/>
    <mergeCell ref="A21:D21"/>
    <mergeCell ref="A17:D17"/>
    <mergeCell ref="A18:D18"/>
    <mergeCell ref="A14:D14"/>
    <mergeCell ref="A15:D15"/>
    <mergeCell ref="A44:Q44"/>
    <mergeCell ref="A40:D40"/>
    <mergeCell ref="A32:D32"/>
    <mergeCell ref="A33:D33"/>
    <mergeCell ref="A34:D34"/>
    <mergeCell ref="A24:D24"/>
    <mergeCell ref="A25:D25"/>
    <mergeCell ref="A35:D35"/>
    <mergeCell ref="A29:D29"/>
    <mergeCell ref="A26:D26"/>
    <mergeCell ref="A11:D11"/>
    <mergeCell ref="A36:D36"/>
    <mergeCell ref="A37:D37"/>
    <mergeCell ref="A38:D38"/>
    <mergeCell ref="A39:D39"/>
    <mergeCell ref="A27:D27"/>
    <mergeCell ref="A22:D22"/>
    <mergeCell ref="A19:D19"/>
    <mergeCell ref="A20:D20"/>
    <mergeCell ref="A1:Q1"/>
    <mergeCell ref="A31:D31"/>
    <mergeCell ref="A30:Q30"/>
    <mergeCell ref="A13:D13"/>
    <mergeCell ref="A28:D28"/>
    <mergeCell ref="A12:D12"/>
    <mergeCell ref="A10:D10"/>
    <mergeCell ref="A8:D8"/>
    <mergeCell ref="A9:D9"/>
    <mergeCell ref="A6:Q6"/>
    <mergeCell ref="A41:D41"/>
    <mergeCell ref="A42:D42"/>
    <mergeCell ref="A43:D43"/>
    <mergeCell ref="A23:D23"/>
    <mergeCell ref="A16:Q16"/>
    <mergeCell ref="A107:D107"/>
    <mergeCell ref="A99:Q99"/>
    <mergeCell ref="A103:D103"/>
    <mergeCell ref="A98:D98"/>
    <mergeCell ref="A97:D97"/>
    <mergeCell ref="A138:D138"/>
    <mergeCell ref="A139:D139"/>
    <mergeCell ref="A140:D140"/>
    <mergeCell ref="A141:D141"/>
    <mergeCell ref="A158:D158"/>
    <mergeCell ref="A142:D142"/>
    <mergeCell ref="A143:D143"/>
    <mergeCell ref="A148:D148"/>
    <mergeCell ref="A152:D152"/>
    <mergeCell ref="A144:D144"/>
    <mergeCell ref="A145:D145"/>
    <mergeCell ref="A125:D125"/>
    <mergeCell ref="A134:D134"/>
    <mergeCell ref="A135:Q135"/>
    <mergeCell ref="A136:D136"/>
    <mergeCell ref="A126:D126"/>
    <mergeCell ref="A127:D127"/>
    <mergeCell ref="A128:D128"/>
    <mergeCell ref="A132:D132"/>
    <mergeCell ref="A137:D137"/>
    <mergeCell ref="A130:D130"/>
    <mergeCell ref="A131:D131"/>
    <mergeCell ref="A133:D133"/>
    <mergeCell ref="A104:D104"/>
    <mergeCell ref="A105:D105"/>
    <mergeCell ref="A106:D106"/>
    <mergeCell ref="A129:D129"/>
    <mergeCell ref="A108:D108"/>
    <mergeCell ref="A109:D109"/>
    <mergeCell ref="A96:D96"/>
    <mergeCell ref="A102:D102"/>
    <mergeCell ref="A157:D157"/>
    <mergeCell ref="A146:Q146"/>
    <mergeCell ref="A147:D147"/>
    <mergeCell ref="A156:Q156"/>
    <mergeCell ref="A153:D153"/>
    <mergeCell ref="A154:D154"/>
    <mergeCell ref="A155:D155"/>
    <mergeCell ref="A149:D149"/>
    <mergeCell ref="A150:D150"/>
    <mergeCell ref="A151:D151"/>
    <mergeCell ref="A164:D164"/>
    <mergeCell ref="A165:Q165"/>
    <mergeCell ref="A166:D166"/>
    <mergeCell ref="A160:D160"/>
    <mergeCell ref="A161:D161"/>
    <mergeCell ref="A162:D162"/>
    <mergeCell ref="A163:D163"/>
    <mergeCell ref="A159:D159"/>
    <mergeCell ref="A171:D171"/>
    <mergeCell ref="A172:D172"/>
    <mergeCell ref="A167:D167"/>
    <mergeCell ref="A168:D168"/>
    <mergeCell ref="A169:D169"/>
    <mergeCell ref="A170:D17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1"/>
  </sheetPr>
  <dimension ref="A2:IV119"/>
  <sheetViews>
    <sheetView tabSelected="1" zoomScale="90" zoomScaleNormal="90" zoomScaleSheetLayoutView="85" zoomScalePageLayoutView="0" workbookViewId="0" topLeftCell="A1">
      <pane xSplit="2" ySplit="3" topLeftCell="GW103" activePane="bottomRight" state="frozen"/>
      <selection pane="topLeft" activeCell="B61" sqref="B61"/>
      <selection pane="topRight" activeCell="B61" sqref="B61"/>
      <selection pane="bottomLeft" activeCell="B61" sqref="B61"/>
      <selection pane="bottomRight" activeCell="AS54" sqref="AS54"/>
    </sheetView>
  </sheetViews>
  <sheetFormatPr defaultColWidth="9.00390625" defaultRowHeight="12.75" customHeight="1" outlineLevelRow="3" outlineLevelCol="2"/>
  <cols>
    <col min="1" max="1" width="7.625" style="30" customWidth="1"/>
    <col min="2" max="2" width="57.875" style="31" customWidth="1"/>
    <col min="3" max="14" width="14.75390625" style="31" customWidth="1" outlineLevel="2"/>
    <col min="15" max="15" width="14.75390625" style="32" customWidth="1" outlineLevel="1"/>
    <col min="16" max="27" width="14.75390625" style="31" customWidth="1" outlineLevel="2"/>
    <col min="28" max="28" width="14.75390625" style="32" customWidth="1" outlineLevel="1"/>
    <col min="29" max="40" width="14.75390625" style="31" customWidth="1" outlineLevel="2"/>
    <col min="41" max="41" width="14.75390625" style="32" customWidth="1" outlineLevel="1"/>
    <col min="42" max="53" width="14.75390625" style="31" customWidth="1" outlineLevel="2"/>
    <col min="54" max="54" width="14.75390625" style="32" customWidth="1" outlineLevel="1"/>
    <col min="55" max="66" width="14.75390625" style="31" customWidth="1" outlineLevel="2"/>
    <col min="67" max="67" width="14.75390625" style="32" customWidth="1" outlineLevel="1"/>
    <col min="68" max="79" width="14.75390625" style="31" customWidth="1" outlineLevel="2"/>
    <col min="80" max="80" width="14.75390625" style="32" customWidth="1" outlineLevel="1"/>
    <col min="81" max="92" width="14.75390625" style="31" customWidth="1" outlineLevel="2"/>
    <col min="93" max="93" width="14.75390625" style="32" customWidth="1" outlineLevel="1"/>
    <col min="94" max="105" width="14.75390625" style="31" customWidth="1" outlineLevel="2"/>
    <col min="106" max="106" width="14.75390625" style="32" customWidth="1" outlineLevel="1"/>
    <col min="107" max="118" width="14.75390625" style="31" customWidth="1" outlineLevel="2"/>
    <col min="119" max="119" width="14.75390625" style="32" customWidth="1" outlineLevel="1"/>
    <col min="120" max="131" width="14.75390625" style="31" customWidth="1" outlineLevel="2"/>
    <col min="132" max="132" width="14.75390625" style="32" customWidth="1" outlineLevel="1"/>
    <col min="133" max="144" width="14.75390625" style="31" customWidth="1" outlineLevel="2"/>
    <col min="145" max="145" width="14.75390625" style="32" customWidth="1" outlineLevel="1"/>
    <col min="146" max="157" width="14.75390625" style="31" customWidth="1" outlineLevel="2"/>
    <col min="158" max="158" width="14.75390625" style="32" customWidth="1" outlineLevel="1"/>
    <col min="159" max="170" width="14.75390625" style="31" customWidth="1" outlineLevel="2"/>
    <col min="171" max="171" width="14.75390625" style="32" customWidth="1" outlineLevel="1"/>
    <col min="172" max="183" width="14.75390625" style="31" customWidth="1" outlineLevel="2"/>
    <col min="184" max="184" width="14.75390625" style="32" customWidth="1" outlineLevel="1"/>
    <col min="185" max="196" width="14.75390625" style="31" customWidth="1" outlineLevel="2"/>
    <col min="197" max="197" width="14.75390625" style="32" customWidth="1" outlineLevel="1"/>
    <col min="198" max="209" width="14.75390625" style="31" customWidth="1" outlineLevel="2"/>
    <col min="210" max="210" width="14.75390625" style="32" customWidth="1" outlineLevel="1"/>
    <col min="211" max="222" width="14.75390625" style="31" customWidth="1" outlineLevel="2"/>
    <col min="223" max="223" width="14.75390625" style="32" customWidth="1" outlineLevel="1"/>
    <col min="224" max="235" width="14.75390625" style="31" customWidth="1" outlineLevel="2"/>
    <col min="236" max="236" width="14.75390625" style="32" customWidth="1" outlineLevel="1"/>
    <col min="237" max="248" width="14.75390625" style="31" customWidth="1" outlineLevel="2"/>
    <col min="249" max="249" width="14.75390625" style="32" customWidth="1" outlineLevel="1"/>
    <col min="250" max="16384" width="14.75390625" style="31" customWidth="1" outlineLevel="2"/>
  </cols>
  <sheetData>
    <row r="1" ht="14.25"/>
    <row r="2" spans="1:256" ht="14.25">
      <c r="A2" s="33"/>
      <c r="B2" s="34" t="s">
        <v>205</v>
      </c>
      <c r="C2" s="35"/>
      <c r="D2" s="35"/>
      <c r="E2" s="35"/>
      <c r="F2" s="35"/>
      <c r="G2" s="35"/>
      <c r="H2" s="35"/>
      <c r="I2" s="35"/>
      <c r="J2" s="35"/>
      <c r="K2" s="35">
        <v>1</v>
      </c>
      <c r="L2" s="35">
        <v>2</v>
      </c>
      <c r="M2" s="35">
        <v>3</v>
      </c>
      <c r="N2" s="35">
        <v>4</v>
      </c>
      <c r="O2" s="36"/>
      <c r="P2" s="35">
        <v>5</v>
      </c>
      <c r="Q2" s="35">
        <v>6</v>
      </c>
      <c r="R2" s="35">
        <v>7</v>
      </c>
      <c r="S2" s="35">
        <v>8</v>
      </c>
      <c r="T2" s="35">
        <v>9</v>
      </c>
      <c r="U2" s="35">
        <v>10</v>
      </c>
      <c r="V2" s="35">
        <v>11</v>
      </c>
      <c r="W2" s="35">
        <v>12</v>
      </c>
      <c r="X2" s="35">
        <v>13</v>
      </c>
      <c r="Y2" s="35">
        <v>14</v>
      </c>
      <c r="Z2" s="35">
        <v>15</v>
      </c>
      <c r="AA2" s="35">
        <v>16</v>
      </c>
      <c r="AB2" s="36"/>
      <c r="AC2" s="35">
        <v>17</v>
      </c>
      <c r="AD2" s="35">
        <v>18</v>
      </c>
      <c r="AE2" s="35">
        <v>19</v>
      </c>
      <c r="AF2" s="35">
        <v>20</v>
      </c>
      <c r="AG2" s="35">
        <v>21</v>
      </c>
      <c r="AH2" s="35">
        <v>22</v>
      </c>
      <c r="AI2" s="35">
        <v>23</v>
      </c>
      <c r="AJ2" s="35">
        <v>24</v>
      </c>
      <c r="AK2" s="35">
        <v>25</v>
      </c>
      <c r="AL2" s="35">
        <v>26</v>
      </c>
      <c r="AM2" s="35">
        <v>27</v>
      </c>
      <c r="AN2" s="35">
        <v>28</v>
      </c>
      <c r="AO2" s="36"/>
      <c r="AP2" s="35">
        <v>29</v>
      </c>
      <c r="AQ2" s="35">
        <v>30</v>
      </c>
      <c r="AR2" s="35">
        <v>31</v>
      </c>
      <c r="AS2" s="35">
        <v>32</v>
      </c>
      <c r="AT2" s="35">
        <v>33</v>
      </c>
      <c r="AU2" s="35">
        <v>34</v>
      </c>
      <c r="AV2" s="35">
        <v>35</v>
      </c>
      <c r="AW2" s="35">
        <v>36</v>
      </c>
      <c r="AX2" s="35">
        <v>37</v>
      </c>
      <c r="AY2" s="35">
        <v>38</v>
      </c>
      <c r="AZ2" s="35">
        <v>39</v>
      </c>
      <c r="BA2" s="35">
        <v>40</v>
      </c>
      <c r="BB2" s="36"/>
      <c r="BC2" s="35">
        <v>41</v>
      </c>
      <c r="BD2" s="35">
        <v>42</v>
      </c>
      <c r="BE2" s="35">
        <v>43</v>
      </c>
      <c r="BF2" s="35">
        <v>44</v>
      </c>
      <c r="BG2" s="35">
        <v>45</v>
      </c>
      <c r="BH2" s="35">
        <v>46</v>
      </c>
      <c r="BI2" s="35">
        <v>47</v>
      </c>
      <c r="BJ2" s="35">
        <v>48</v>
      </c>
      <c r="BK2" s="35">
        <v>49</v>
      </c>
      <c r="BL2" s="35">
        <v>50</v>
      </c>
      <c r="BM2" s="35">
        <v>51</v>
      </c>
      <c r="BN2" s="35">
        <v>52</v>
      </c>
      <c r="BO2" s="36"/>
      <c r="BP2" s="35">
        <v>53</v>
      </c>
      <c r="BQ2" s="35">
        <v>54</v>
      </c>
      <c r="BR2" s="35">
        <v>55</v>
      </c>
      <c r="BS2" s="35">
        <v>56</v>
      </c>
      <c r="BT2" s="35">
        <v>57</v>
      </c>
      <c r="BU2" s="35">
        <v>58</v>
      </c>
      <c r="BV2" s="35">
        <v>59</v>
      </c>
      <c r="BW2" s="35">
        <v>60</v>
      </c>
      <c r="BX2" s="35">
        <v>61</v>
      </c>
      <c r="BY2" s="35">
        <v>62</v>
      </c>
      <c r="BZ2" s="35">
        <v>63</v>
      </c>
      <c r="CA2" s="35">
        <v>64</v>
      </c>
      <c r="CB2" s="36"/>
      <c r="CC2" s="35">
        <v>65</v>
      </c>
      <c r="CD2" s="35">
        <v>66</v>
      </c>
      <c r="CE2" s="35">
        <v>67</v>
      </c>
      <c r="CF2" s="35">
        <v>68</v>
      </c>
      <c r="CG2" s="35">
        <v>69</v>
      </c>
      <c r="CH2" s="35">
        <v>70</v>
      </c>
      <c r="CI2" s="35">
        <v>71</v>
      </c>
      <c r="CJ2" s="35">
        <v>72</v>
      </c>
      <c r="CK2" s="35">
        <v>73</v>
      </c>
      <c r="CL2" s="35">
        <v>74</v>
      </c>
      <c r="CM2" s="35">
        <v>75</v>
      </c>
      <c r="CN2" s="35">
        <v>76</v>
      </c>
      <c r="CO2" s="36"/>
      <c r="CP2" s="35">
        <v>77</v>
      </c>
      <c r="CQ2" s="35">
        <v>78</v>
      </c>
      <c r="CR2" s="35">
        <v>79</v>
      </c>
      <c r="CS2" s="35">
        <v>80</v>
      </c>
      <c r="CT2" s="35">
        <v>81</v>
      </c>
      <c r="CU2" s="35">
        <v>82</v>
      </c>
      <c r="CV2" s="35">
        <v>83</v>
      </c>
      <c r="CW2" s="35">
        <v>84</v>
      </c>
      <c r="CX2" s="35">
        <v>85</v>
      </c>
      <c r="CY2" s="35">
        <v>86</v>
      </c>
      <c r="CZ2" s="35">
        <v>87</v>
      </c>
      <c r="DA2" s="35">
        <v>88</v>
      </c>
      <c r="DB2" s="36"/>
      <c r="DC2" s="35">
        <v>89</v>
      </c>
      <c r="DD2" s="35">
        <v>90</v>
      </c>
      <c r="DE2" s="35">
        <v>91</v>
      </c>
      <c r="DF2" s="35">
        <v>92</v>
      </c>
      <c r="DG2" s="35">
        <v>93</v>
      </c>
      <c r="DH2" s="35">
        <v>94</v>
      </c>
      <c r="DI2" s="35">
        <v>95</v>
      </c>
      <c r="DJ2" s="35">
        <v>96</v>
      </c>
      <c r="DK2" s="35">
        <v>97</v>
      </c>
      <c r="DL2" s="35">
        <v>98</v>
      </c>
      <c r="DM2" s="35">
        <v>99</v>
      </c>
      <c r="DN2" s="35">
        <v>100</v>
      </c>
      <c r="DO2" s="36"/>
      <c r="DP2" s="35">
        <v>101</v>
      </c>
      <c r="DQ2" s="35">
        <v>102</v>
      </c>
      <c r="DR2" s="35">
        <v>103</v>
      </c>
      <c r="DS2" s="35">
        <v>104</v>
      </c>
      <c r="DT2" s="35">
        <v>105</v>
      </c>
      <c r="DU2" s="35">
        <v>106</v>
      </c>
      <c r="DV2" s="35">
        <v>107</v>
      </c>
      <c r="DW2" s="35">
        <v>108</v>
      </c>
      <c r="DX2" s="35">
        <v>109</v>
      </c>
      <c r="DY2" s="35">
        <v>110</v>
      </c>
      <c r="DZ2" s="35">
        <v>111</v>
      </c>
      <c r="EA2" s="35">
        <v>112</v>
      </c>
      <c r="EB2" s="36"/>
      <c r="EC2" s="35">
        <v>113</v>
      </c>
      <c r="ED2" s="35">
        <v>114</v>
      </c>
      <c r="EE2" s="35">
        <v>115</v>
      </c>
      <c r="EF2" s="35">
        <v>116</v>
      </c>
      <c r="EG2" s="35">
        <v>117</v>
      </c>
      <c r="EH2" s="35">
        <v>118</v>
      </c>
      <c r="EI2" s="35">
        <v>119</v>
      </c>
      <c r="EJ2" s="35">
        <v>120</v>
      </c>
      <c r="EK2" s="35">
        <v>121</v>
      </c>
      <c r="EL2" s="35">
        <v>122</v>
      </c>
      <c r="EM2" s="35">
        <v>123</v>
      </c>
      <c r="EN2" s="35">
        <v>124</v>
      </c>
      <c r="EO2" s="36"/>
      <c r="EP2" s="35">
        <v>125</v>
      </c>
      <c r="EQ2" s="35">
        <v>126</v>
      </c>
      <c r="ER2" s="35">
        <v>127</v>
      </c>
      <c r="ES2" s="35">
        <v>128</v>
      </c>
      <c r="ET2" s="35">
        <v>129</v>
      </c>
      <c r="EU2" s="35">
        <v>130</v>
      </c>
      <c r="EV2" s="35">
        <v>131</v>
      </c>
      <c r="EW2" s="35">
        <v>132</v>
      </c>
      <c r="EX2" s="35">
        <v>133</v>
      </c>
      <c r="EY2" s="35">
        <v>134</v>
      </c>
      <c r="EZ2" s="35">
        <v>135</v>
      </c>
      <c r="FA2" s="35">
        <v>136</v>
      </c>
      <c r="FB2" s="36"/>
      <c r="FC2" s="35">
        <v>137</v>
      </c>
      <c r="FD2" s="35">
        <v>138</v>
      </c>
      <c r="FE2" s="35">
        <v>139</v>
      </c>
      <c r="FF2" s="35">
        <v>140</v>
      </c>
      <c r="FG2" s="35">
        <v>141</v>
      </c>
      <c r="FH2" s="35">
        <v>142</v>
      </c>
      <c r="FI2" s="35">
        <v>143</v>
      </c>
      <c r="FJ2" s="35">
        <v>144</v>
      </c>
      <c r="FK2" s="35">
        <v>145</v>
      </c>
      <c r="FL2" s="35">
        <v>146</v>
      </c>
      <c r="FM2" s="35">
        <v>147</v>
      </c>
      <c r="FN2" s="35">
        <v>148</v>
      </c>
      <c r="FO2" s="36"/>
      <c r="FP2" s="35">
        <v>149</v>
      </c>
      <c r="FQ2" s="35">
        <v>150</v>
      </c>
      <c r="FR2" s="35">
        <v>151</v>
      </c>
      <c r="FS2" s="35">
        <v>152</v>
      </c>
      <c r="FT2" s="35">
        <v>153</v>
      </c>
      <c r="FU2" s="35">
        <v>154</v>
      </c>
      <c r="FV2" s="35">
        <v>155</v>
      </c>
      <c r="FW2" s="35">
        <v>156</v>
      </c>
      <c r="FX2" s="35">
        <v>157</v>
      </c>
      <c r="FY2" s="35">
        <v>158</v>
      </c>
      <c r="FZ2" s="35">
        <v>159</v>
      </c>
      <c r="GA2" s="35">
        <v>160</v>
      </c>
      <c r="GB2" s="36"/>
      <c r="GC2" s="35">
        <v>161</v>
      </c>
      <c r="GD2" s="35">
        <v>162</v>
      </c>
      <c r="GE2" s="35">
        <v>163</v>
      </c>
      <c r="GF2" s="35">
        <v>164</v>
      </c>
      <c r="GG2" s="35">
        <v>165</v>
      </c>
      <c r="GH2" s="35">
        <v>166</v>
      </c>
      <c r="GI2" s="35">
        <v>167</v>
      </c>
      <c r="GJ2" s="35">
        <v>168</v>
      </c>
      <c r="GK2" s="35">
        <v>169</v>
      </c>
      <c r="GL2" s="35">
        <v>170</v>
      </c>
      <c r="GM2" s="35">
        <v>171</v>
      </c>
      <c r="GN2" s="35">
        <v>172</v>
      </c>
      <c r="GO2" s="36"/>
      <c r="GP2" s="35">
        <v>173</v>
      </c>
      <c r="GQ2" s="35">
        <v>174</v>
      </c>
      <c r="GR2" s="35">
        <v>175</v>
      </c>
      <c r="GS2" s="35">
        <v>176</v>
      </c>
      <c r="GT2" s="35">
        <v>177</v>
      </c>
      <c r="GU2" s="35">
        <v>178</v>
      </c>
      <c r="GV2" s="35">
        <v>179</v>
      </c>
      <c r="GW2" s="35">
        <v>180</v>
      </c>
      <c r="GX2" s="35">
        <v>181</v>
      </c>
      <c r="GY2" s="35">
        <v>182</v>
      </c>
      <c r="GZ2" s="35">
        <v>183</v>
      </c>
      <c r="HA2" s="35">
        <v>184</v>
      </c>
      <c r="HB2" s="36"/>
      <c r="HC2" s="35"/>
      <c r="HD2" s="35">
        <v>186</v>
      </c>
      <c r="HE2" s="35">
        <v>187</v>
      </c>
      <c r="HF2" s="35">
        <v>188</v>
      </c>
      <c r="HG2" s="35">
        <v>189</v>
      </c>
      <c r="HH2" s="35">
        <v>190</v>
      </c>
      <c r="HI2" s="35">
        <v>191</v>
      </c>
      <c r="HJ2" s="35">
        <v>192</v>
      </c>
      <c r="HK2" s="35">
        <v>193</v>
      </c>
      <c r="HL2" s="35">
        <v>194</v>
      </c>
      <c r="HM2" s="35">
        <v>195</v>
      </c>
      <c r="HN2" s="35">
        <v>196</v>
      </c>
      <c r="HO2" s="36"/>
      <c r="HP2" s="35">
        <v>197</v>
      </c>
      <c r="HQ2" s="35">
        <v>198</v>
      </c>
      <c r="HR2" s="35">
        <v>199</v>
      </c>
      <c r="HS2" s="35">
        <v>200</v>
      </c>
      <c r="HT2" s="35">
        <v>201</v>
      </c>
      <c r="HU2" s="35">
        <v>202</v>
      </c>
      <c r="HV2" s="35">
        <v>203</v>
      </c>
      <c r="HW2" s="35">
        <v>204</v>
      </c>
      <c r="HX2" s="35">
        <v>205</v>
      </c>
      <c r="HY2" s="35">
        <v>206</v>
      </c>
      <c r="HZ2" s="35">
        <v>207</v>
      </c>
      <c r="IA2" s="35">
        <v>208</v>
      </c>
      <c r="IB2" s="36"/>
      <c r="IC2" s="35">
        <v>209</v>
      </c>
      <c r="ID2" s="35">
        <v>210</v>
      </c>
      <c r="IE2" s="35">
        <v>211</v>
      </c>
      <c r="IF2" s="35">
        <v>212</v>
      </c>
      <c r="IG2" s="35">
        <v>213</v>
      </c>
      <c r="IH2" s="35">
        <v>214</v>
      </c>
      <c r="II2" s="35">
        <v>215</v>
      </c>
      <c r="IJ2" s="35">
        <v>217</v>
      </c>
      <c r="IK2" s="35">
        <v>218</v>
      </c>
      <c r="IL2" s="35">
        <v>219</v>
      </c>
      <c r="IM2" s="35">
        <v>220</v>
      </c>
      <c r="IN2" s="35">
        <v>221</v>
      </c>
      <c r="IO2" s="36"/>
      <c r="IP2" s="35">
        <v>222</v>
      </c>
      <c r="IQ2" s="35">
        <v>223</v>
      </c>
      <c r="IR2" s="35">
        <v>224</v>
      </c>
      <c r="IS2" s="35">
        <v>225</v>
      </c>
      <c r="IT2" s="35">
        <v>226</v>
      </c>
      <c r="IU2" s="35">
        <v>227</v>
      </c>
      <c r="IV2" s="35">
        <v>228</v>
      </c>
    </row>
    <row r="3" spans="1:256" ht="14.25">
      <c r="A3" s="33"/>
      <c r="B3" s="37" t="s">
        <v>206</v>
      </c>
      <c r="C3" s="38" t="s">
        <v>207</v>
      </c>
      <c r="D3" s="38" t="s">
        <v>208</v>
      </c>
      <c r="E3" s="38" t="s">
        <v>209</v>
      </c>
      <c r="F3" s="38" t="s">
        <v>210</v>
      </c>
      <c r="G3" s="38" t="s">
        <v>211</v>
      </c>
      <c r="H3" s="38" t="s">
        <v>212</v>
      </c>
      <c r="I3" s="38" t="s">
        <v>213</v>
      </c>
      <c r="J3" s="38" t="s">
        <v>214</v>
      </c>
      <c r="K3" s="38" t="s">
        <v>215</v>
      </c>
      <c r="L3" s="38" t="s">
        <v>216</v>
      </c>
      <c r="M3" s="38" t="s">
        <v>217</v>
      </c>
      <c r="N3" s="38" t="s">
        <v>218</v>
      </c>
      <c r="O3" s="39" t="s">
        <v>219</v>
      </c>
      <c r="P3" s="38" t="s">
        <v>220</v>
      </c>
      <c r="Q3" s="38" t="s">
        <v>221</v>
      </c>
      <c r="R3" s="38" t="s">
        <v>222</v>
      </c>
      <c r="S3" s="38" t="s">
        <v>223</v>
      </c>
      <c r="T3" s="38" t="s">
        <v>224</v>
      </c>
      <c r="U3" s="38" t="s">
        <v>225</v>
      </c>
      <c r="V3" s="38" t="s">
        <v>226</v>
      </c>
      <c r="W3" s="38" t="s">
        <v>227</v>
      </c>
      <c r="X3" s="38" t="s">
        <v>228</v>
      </c>
      <c r="Y3" s="38" t="s">
        <v>229</v>
      </c>
      <c r="Z3" s="38" t="s">
        <v>230</v>
      </c>
      <c r="AA3" s="38" t="s">
        <v>231</v>
      </c>
      <c r="AB3" s="39" t="s">
        <v>232</v>
      </c>
      <c r="AC3" s="38" t="s">
        <v>233</v>
      </c>
      <c r="AD3" s="38" t="s">
        <v>234</v>
      </c>
      <c r="AE3" s="38" t="s">
        <v>235</v>
      </c>
      <c r="AF3" s="38" t="s">
        <v>236</v>
      </c>
      <c r="AG3" s="38" t="s">
        <v>237</v>
      </c>
      <c r="AH3" s="38" t="s">
        <v>238</v>
      </c>
      <c r="AI3" s="38" t="s">
        <v>239</v>
      </c>
      <c r="AJ3" s="38" t="s">
        <v>240</v>
      </c>
      <c r="AK3" s="38" t="s">
        <v>241</v>
      </c>
      <c r="AL3" s="38" t="s">
        <v>242</v>
      </c>
      <c r="AM3" s="38" t="s">
        <v>243</v>
      </c>
      <c r="AN3" s="38" t="s">
        <v>244</v>
      </c>
      <c r="AO3" s="39" t="s">
        <v>245</v>
      </c>
      <c r="AP3" s="38" t="s">
        <v>246</v>
      </c>
      <c r="AQ3" s="38" t="s">
        <v>247</v>
      </c>
      <c r="AR3" s="38" t="s">
        <v>248</v>
      </c>
      <c r="AS3" s="38" t="s">
        <v>249</v>
      </c>
      <c r="AT3" s="38" t="s">
        <v>250</v>
      </c>
      <c r="AU3" s="38" t="s">
        <v>251</v>
      </c>
      <c r="AV3" s="38" t="s">
        <v>252</v>
      </c>
      <c r="AW3" s="38" t="s">
        <v>253</v>
      </c>
      <c r="AX3" s="38" t="s">
        <v>254</v>
      </c>
      <c r="AY3" s="38" t="s">
        <v>255</v>
      </c>
      <c r="AZ3" s="38" t="s">
        <v>256</v>
      </c>
      <c r="BA3" s="38" t="s">
        <v>257</v>
      </c>
      <c r="BB3" s="39" t="s">
        <v>508</v>
      </c>
      <c r="BC3" s="38" t="s">
        <v>258</v>
      </c>
      <c r="BD3" s="38" t="s">
        <v>259</v>
      </c>
      <c r="BE3" s="38" t="s">
        <v>260</v>
      </c>
      <c r="BF3" s="38" t="s">
        <v>261</v>
      </c>
      <c r="BG3" s="38" t="s">
        <v>262</v>
      </c>
      <c r="BH3" s="38" t="s">
        <v>263</v>
      </c>
      <c r="BI3" s="38" t="s">
        <v>264</v>
      </c>
      <c r="BJ3" s="38" t="s">
        <v>265</v>
      </c>
      <c r="BK3" s="38" t="s">
        <v>266</v>
      </c>
      <c r="BL3" s="38" t="s">
        <v>509</v>
      </c>
      <c r="BM3" s="38" t="s">
        <v>267</v>
      </c>
      <c r="BN3" s="38" t="s">
        <v>268</v>
      </c>
      <c r="BO3" s="39" t="s">
        <v>510</v>
      </c>
      <c r="BP3" s="38" t="s">
        <v>269</v>
      </c>
      <c r="BQ3" s="38" t="s">
        <v>270</v>
      </c>
      <c r="BR3" s="38" t="s">
        <v>271</v>
      </c>
      <c r="BS3" s="38" t="s">
        <v>272</v>
      </c>
      <c r="BT3" s="38" t="s">
        <v>273</v>
      </c>
      <c r="BU3" s="38" t="s">
        <v>274</v>
      </c>
      <c r="BV3" s="38" t="s">
        <v>275</v>
      </c>
      <c r="BW3" s="38" t="s">
        <v>276</v>
      </c>
      <c r="BX3" s="38" t="s">
        <v>277</v>
      </c>
      <c r="BY3" s="38" t="s">
        <v>511</v>
      </c>
      <c r="BZ3" s="38" t="s">
        <v>278</v>
      </c>
      <c r="CA3" s="38" t="s">
        <v>279</v>
      </c>
      <c r="CB3" s="39" t="s">
        <v>280</v>
      </c>
      <c r="CC3" s="38" t="s">
        <v>281</v>
      </c>
      <c r="CD3" s="38" t="s">
        <v>282</v>
      </c>
      <c r="CE3" s="38" t="s">
        <v>283</v>
      </c>
      <c r="CF3" s="38" t="s">
        <v>284</v>
      </c>
      <c r="CG3" s="38" t="s">
        <v>285</v>
      </c>
      <c r="CH3" s="38" t="s">
        <v>286</v>
      </c>
      <c r="CI3" s="38" t="s">
        <v>287</v>
      </c>
      <c r="CJ3" s="38" t="s">
        <v>288</v>
      </c>
      <c r="CK3" s="38" t="s">
        <v>289</v>
      </c>
      <c r="CL3" s="38" t="s">
        <v>290</v>
      </c>
      <c r="CM3" s="38" t="s">
        <v>291</v>
      </c>
      <c r="CN3" s="38" t="s">
        <v>292</v>
      </c>
      <c r="CO3" s="39" t="s">
        <v>293</v>
      </c>
      <c r="CP3" s="38" t="s">
        <v>294</v>
      </c>
      <c r="CQ3" s="38" t="s">
        <v>295</v>
      </c>
      <c r="CR3" s="38" t="s">
        <v>296</v>
      </c>
      <c r="CS3" s="38" t="s">
        <v>297</v>
      </c>
      <c r="CT3" s="38" t="s">
        <v>298</v>
      </c>
      <c r="CU3" s="38" t="s">
        <v>299</v>
      </c>
      <c r="CV3" s="38" t="s">
        <v>300</v>
      </c>
      <c r="CW3" s="38" t="s">
        <v>301</v>
      </c>
      <c r="CX3" s="38" t="s">
        <v>302</v>
      </c>
      <c r="CY3" s="38" t="s">
        <v>303</v>
      </c>
      <c r="CZ3" s="38" t="s">
        <v>304</v>
      </c>
      <c r="DA3" s="38" t="s">
        <v>305</v>
      </c>
      <c r="DB3" s="39" t="s">
        <v>306</v>
      </c>
      <c r="DC3" s="38" t="s">
        <v>307</v>
      </c>
      <c r="DD3" s="38" t="s">
        <v>308</v>
      </c>
      <c r="DE3" s="38" t="s">
        <v>309</v>
      </c>
      <c r="DF3" s="38" t="s">
        <v>310</v>
      </c>
      <c r="DG3" s="38" t="s">
        <v>311</v>
      </c>
      <c r="DH3" s="38" t="s">
        <v>312</v>
      </c>
      <c r="DI3" s="38" t="s">
        <v>313</v>
      </c>
      <c r="DJ3" s="38" t="s">
        <v>314</v>
      </c>
      <c r="DK3" s="38" t="s">
        <v>315</v>
      </c>
      <c r="DL3" s="38" t="s">
        <v>316</v>
      </c>
      <c r="DM3" s="38" t="s">
        <v>317</v>
      </c>
      <c r="DN3" s="38" t="s">
        <v>318</v>
      </c>
      <c r="DO3" s="39" t="s">
        <v>319</v>
      </c>
      <c r="DP3" s="38" t="s">
        <v>320</v>
      </c>
      <c r="DQ3" s="38" t="s">
        <v>321</v>
      </c>
      <c r="DR3" s="38" t="s">
        <v>322</v>
      </c>
      <c r="DS3" s="38" t="s">
        <v>323</v>
      </c>
      <c r="DT3" s="38" t="s">
        <v>324</v>
      </c>
      <c r="DU3" s="38" t="s">
        <v>325</v>
      </c>
      <c r="DV3" s="38" t="s">
        <v>326</v>
      </c>
      <c r="DW3" s="38" t="s">
        <v>327</v>
      </c>
      <c r="DX3" s="38" t="s">
        <v>328</v>
      </c>
      <c r="DY3" s="38" t="s">
        <v>329</v>
      </c>
      <c r="DZ3" s="38" t="s">
        <v>330</v>
      </c>
      <c r="EA3" s="38" t="s">
        <v>331</v>
      </c>
      <c r="EB3" s="39" t="s">
        <v>332</v>
      </c>
      <c r="EC3" s="38" t="s">
        <v>333</v>
      </c>
      <c r="ED3" s="38" t="s">
        <v>334</v>
      </c>
      <c r="EE3" s="38" t="s">
        <v>335</v>
      </c>
      <c r="EF3" s="38" t="s">
        <v>336</v>
      </c>
      <c r="EG3" s="38" t="s">
        <v>337</v>
      </c>
      <c r="EH3" s="38" t="s">
        <v>338</v>
      </c>
      <c r="EI3" s="38" t="s">
        <v>339</v>
      </c>
      <c r="EJ3" s="38" t="s">
        <v>340</v>
      </c>
      <c r="EK3" s="38" t="s">
        <v>341</v>
      </c>
      <c r="EL3" s="38" t="s">
        <v>342</v>
      </c>
      <c r="EM3" s="38" t="s">
        <v>343</v>
      </c>
      <c r="EN3" s="38" t="s">
        <v>344</v>
      </c>
      <c r="EO3" s="39" t="s">
        <v>345</v>
      </c>
      <c r="EP3" s="38" t="s">
        <v>346</v>
      </c>
      <c r="EQ3" s="38" t="s">
        <v>347</v>
      </c>
      <c r="ER3" s="38" t="s">
        <v>348</v>
      </c>
      <c r="ES3" s="38" t="s">
        <v>349</v>
      </c>
      <c r="ET3" s="38" t="s">
        <v>350</v>
      </c>
      <c r="EU3" s="38" t="s">
        <v>351</v>
      </c>
      <c r="EV3" s="38" t="s">
        <v>352</v>
      </c>
      <c r="EW3" s="38" t="s">
        <v>353</v>
      </c>
      <c r="EX3" s="38" t="s">
        <v>354</v>
      </c>
      <c r="EY3" s="38" t="s">
        <v>355</v>
      </c>
      <c r="EZ3" s="38" t="s">
        <v>356</v>
      </c>
      <c r="FA3" s="38" t="s">
        <v>357</v>
      </c>
      <c r="FB3" s="39" t="s">
        <v>358</v>
      </c>
      <c r="FC3" s="38" t="s">
        <v>359</v>
      </c>
      <c r="FD3" s="38" t="s">
        <v>360</v>
      </c>
      <c r="FE3" s="38" t="s">
        <v>361</v>
      </c>
      <c r="FF3" s="38" t="s">
        <v>362</v>
      </c>
      <c r="FG3" s="38" t="s">
        <v>363</v>
      </c>
      <c r="FH3" s="38" t="s">
        <v>364</v>
      </c>
      <c r="FI3" s="38" t="s">
        <v>365</v>
      </c>
      <c r="FJ3" s="38" t="s">
        <v>366</v>
      </c>
      <c r="FK3" s="38" t="s">
        <v>367</v>
      </c>
      <c r="FL3" s="38" t="s">
        <v>368</v>
      </c>
      <c r="FM3" s="38" t="s">
        <v>369</v>
      </c>
      <c r="FN3" s="38" t="s">
        <v>370</v>
      </c>
      <c r="FO3" s="39" t="s">
        <v>371</v>
      </c>
      <c r="FP3" s="38" t="s">
        <v>446</v>
      </c>
      <c r="FQ3" s="38" t="s">
        <v>447</v>
      </c>
      <c r="FR3" s="38" t="s">
        <v>448</v>
      </c>
      <c r="FS3" s="38" t="s">
        <v>449</v>
      </c>
      <c r="FT3" s="38" t="s">
        <v>450</v>
      </c>
      <c r="FU3" s="38" t="s">
        <v>451</v>
      </c>
      <c r="FV3" s="38" t="s">
        <v>452</v>
      </c>
      <c r="FW3" s="38" t="s">
        <v>453</v>
      </c>
      <c r="FX3" s="38" t="s">
        <v>454</v>
      </c>
      <c r="FY3" s="38" t="s">
        <v>455</v>
      </c>
      <c r="FZ3" s="38" t="s">
        <v>456</v>
      </c>
      <c r="GA3" s="38" t="s">
        <v>457</v>
      </c>
      <c r="GB3" s="39" t="s">
        <v>458</v>
      </c>
      <c r="GC3" s="38" t="s">
        <v>459</v>
      </c>
      <c r="GD3" s="38" t="s">
        <v>460</v>
      </c>
      <c r="GE3" s="38" t="s">
        <v>461</v>
      </c>
      <c r="GF3" s="38" t="s">
        <v>462</v>
      </c>
      <c r="GG3" s="38" t="s">
        <v>463</v>
      </c>
      <c r="GH3" s="38" t="s">
        <v>464</v>
      </c>
      <c r="GI3" s="38" t="s">
        <v>465</v>
      </c>
      <c r="GJ3" s="38" t="s">
        <v>466</v>
      </c>
      <c r="GK3" s="38" t="s">
        <v>467</v>
      </c>
      <c r="GL3" s="38" t="s">
        <v>468</v>
      </c>
      <c r="GM3" s="38" t="s">
        <v>469</v>
      </c>
      <c r="GN3" s="38" t="s">
        <v>470</v>
      </c>
      <c r="GO3" s="39" t="s">
        <v>471</v>
      </c>
      <c r="GP3" s="38" t="s">
        <v>512</v>
      </c>
      <c r="GQ3" s="38" t="s">
        <v>513</v>
      </c>
      <c r="GR3" s="38" t="s">
        <v>514</v>
      </c>
      <c r="GS3" s="38" t="s">
        <v>515</v>
      </c>
      <c r="GT3" s="38" t="s">
        <v>516</v>
      </c>
      <c r="GU3" s="38" t="s">
        <v>517</v>
      </c>
      <c r="GV3" s="38" t="s">
        <v>518</v>
      </c>
      <c r="GW3" s="38" t="s">
        <v>519</v>
      </c>
      <c r="GX3" s="38" t="s">
        <v>520</v>
      </c>
      <c r="GY3" s="38" t="s">
        <v>521</v>
      </c>
      <c r="GZ3" s="38" t="s">
        <v>522</v>
      </c>
      <c r="HA3" s="38" t="s">
        <v>523</v>
      </c>
      <c r="HB3" s="39" t="s">
        <v>524</v>
      </c>
      <c r="HC3" s="38" t="s">
        <v>58</v>
      </c>
      <c r="HD3" s="38" t="s">
        <v>39</v>
      </c>
      <c r="HE3" s="38" t="s">
        <v>40</v>
      </c>
      <c r="HF3" s="38" t="s">
        <v>41</v>
      </c>
      <c r="HG3" s="38" t="s">
        <v>42</v>
      </c>
      <c r="HH3" s="38" t="s">
        <v>43</v>
      </c>
      <c r="HI3" s="38" t="s">
        <v>44</v>
      </c>
      <c r="HJ3" s="38" t="s">
        <v>45</v>
      </c>
      <c r="HK3" s="38" t="s">
        <v>46</v>
      </c>
      <c r="HL3" s="38" t="s">
        <v>47</v>
      </c>
      <c r="HM3" s="38" t="s">
        <v>48</v>
      </c>
      <c r="HN3" s="38" t="s">
        <v>49</v>
      </c>
      <c r="HO3" s="39" t="s">
        <v>372</v>
      </c>
      <c r="HP3" s="38" t="s">
        <v>38</v>
      </c>
      <c r="HQ3" s="38" t="s">
        <v>39</v>
      </c>
      <c r="HR3" s="38" t="s">
        <v>40</v>
      </c>
      <c r="HS3" s="38" t="s">
        <v>41</v>
      </c>
      <c r="HT3" s="38" t="s">
        <v>42</v>
      </c>
      <c r="HU3" s="38" t="s">
        <v>43</v>
      </c>
      <c r="HV3" s="38" t="s">
        <v>44</v>
      </c>
      <c r="HW3" s="38" t="s">
        <v>45</v>
      </c>
      <c r="HX3" s="38" t="s">
        <v>46</v>
      </c>
      <c r="HY3" s="38" t="s">
        <v>47</v>
      </c>
      <c r="HZ3" s="38" t="s">
        <v>48</v>
      </c>
      <c r="IA3" s="38" t="s">
        <v>49</v>
      </c>
      <c r="IB3" s="39" t="s">
        <v>372</v>
      </c>
      <c r="IC3" s="38" t="s">
        <v>38</v>
      </c>
      <c r="ID3" s="38" t="s">
        <v>39</v>
      </c>
      <c r="IE3" s="38" t="s">
        <v>40</v>
      </c>
      <c r="IF3" s="38" t="s">
        <v>41</v>
      </c>
      <c r="IG3" s="38" t="s">
        <v>42</v>
      </c>
      <c r="IH3" s="38" t="s">
        <v>43</v>
      </c>
      <c r="II3" s="38" t="s">
        <v>44</v>
      </c>
      <c r="IJ3" s="38" t="s">
        <v>45</v>
      </c>
      <c r="IK3" s="38" t="s">
        <v>46</v>
      </c>
      <c r="IL3" s="38" t="s">
        <v>47</v>
      </c>
      <c r="IM3" s="38" t="s">
        <v>48</v>
      </c>
      <c r="IN3" s="38" t="s">
        <v>49</v>
      </c>
      <c r="IO3" s="39" t="s">
        <v>372</v>
      </c>
      <c r="IP3" s="38" t="s">
        <v>38</v>
      </c>
      <c r="IQ3" s="38" t="s">
        <v>39</v>
      </c>
      <c r="IR3" s="38" t="s">
        <v>40</v>
      </c>
      <c r="IS3" s="38" t="s">
        <v>41</v>
      </c>
      <c r="IT3" s="38" t="s">
        <v>42</v>
      </c>
      <c r="IU3" s="38" t="s">
        <v>43</v>
      </c>
      <c r="IV3" s="38" t="s">
        <v>44</v>
      </c>
    </row>
    <row r="4" spans="1:256" s="43" customFormat="1" ht="14.25">
      <c r="A4" s="40"/>
      <c r="B4" s="41" t="s">
        <v>373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2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2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2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2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2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2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2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2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2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2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2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2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2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2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2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2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2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2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2"/>
      <c r="IP4" s="40"/>
      <c r="IQ4" s="40"/>
      <c r="IR4" s="40"/>
      <c r="IS4" s="40"/>
      <c r="IT4" s="40"/>
      <c r="IU4" s="40"/>
      <c r="IV4" s="40"/>
    </row>
    <row r="5" spans="1:256" ht="14.25">
      <c r="A5" s="90"/>
      <c r="B5" s="44" t="s">
        <v>374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  <c r="HH5" s="91"/>
      <c r="HI5" s="91"/>
      <c r="HJ5" s="91"/>
      <c r="HK5" s="91"/>
      <c r="HL5" s="91"/>
      <c r="HM5" s="91"/>
      <c r="HN5" s="91"/>
      <c r="HO5" s="91"/>
      <c r="HP5" s="91"/>
      <c r="HQ5" s="91"/>
      <c r="HR5" s="91"/>
      <c r="HS5" s="91"/>
      <c r="HT5" s="91"/>
      <c r="HU5" s="91"/>
      <c r="HV5" s="91"/>
      <c r="HW5" s="91"/>
      <c r="HX5" s="91"/>
      <c r="HY5" s="91"/>
      <c r="HZ5" s="91"/>
      <c r="IA5" s="91"/>
      <c r="IB5" s="91"/>
      <c r="IC5" s="91"/>
      <c r="ID5" s="91"/>
      <c r="IE5" s="91"/>
      <c r="IF5" s="91"/>
      <c r="IG5" s="91"/>
      <c r="IH5" s="91"/>
      <c r="II5" s="91"/>
      <c r="IJ5" s="91"/>
      <c r="IK5" s="91"/>
      <c r="IL5" s="91"/>
      <c r="IM5" s="91"/>
      <c r="IN5" s="91"/>
      <c r="IO5" s="91"/>
      <c r="IP5" s="91"/>
      <c r="IQ5" s="91"/>
      <c r="IR5" s="91"/>
      <c r="IS5" s="91"/>
      <c r="IT5" s="91"/>
      <c r="IU5" s="91"/>
      <c r="IV5" s="91"/>
    </row>
    <row r="6" spans="1:256" s="46" customFormat="1" ht="14.25">
      <c r="A6" s="30"/>
      <c r="B6" s="45" t="s">
        <v>375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  <c r="HJ6" s="91"/>
      <c r="HK6" s="91"/>
      <c r="HL6" s="91"/>
      <c r="HM6" s="91"/>
      <c r="HN6" s="91"/>
      <c r="HO6" s="91"/>
      <c r="HP6" s="91"/>
      <c r="HQ6" s="91"/>
      <c r="HR6" s="91"/>
      <c r="HS6" s="91"/>
      <c r="HT6" s="91"/>
      <c r="HU6" s="91"/>
      <c r="HV6" s="91"/>
      <c r="HW6" s="91"/>
      <c r="HX6" s="91"/>
      <c r="HY6" s="91"/>
      <c r="HZ6" s="91"/>
      <c r="IA6" s="91"/>
      <c r="IB6" s="91"/>
      <c r="IC6" s="91"/>
      <c r="ID6" s="91"/>
      <c r="IE6" s="91"/>
      <c r="IF6" s="91"/>
      <c r="IG6" s="91"/>
      <c r="IH6" s="91"/>
      <c r="II6" s="91"/>
      <c r="IJ6" s="91"/>
      <c r="IK6" s="91"/>
      <c r="IL6" s="91"/>
      <c r="IM6" s="91"/>
      <c r="IN6" s="91"/>
      <c r="IO6" s="91"/>
      <c r="IP6" s="91"/>
      <c r="IQ6" s="91"/>
      <c r="IR6" s="91"/>
      <c r="IS6" s="91"/>
      <c r="IT6" s="91"/>
      <c r="IU6" s="91"/>
      <c r="IV6" s="91"/>
    </row>
    <row r="7" spans="1:256" ht="14.25">
      <c r="A7" s="33"/>
      <c r="B7" s="47" t="s">
        <v>376</v>
      </c>
      <c r="C7" s="38" t="s">
        <v>207</v>
      </c>
      <c r="D7" s="38" t="s">
        <v>208</v>
      </c>
      <c r="E7" s="38" t="s">
        <v>209</v>
      </c>
      <c r="F7" s="38" t="s">
        <v>210</v>
      </c>
      <c r="G7" s="38" t="s">
        <v>211</v>
      </c>
      <c r="H7" s="38" t="s">
        <v>212</v>
      </c>
      <c r="I7" s="38" t="s">
        <v>213</v>
      </c>
      <c r="J7" s="38" t="s">
        <v>214</v>
      </c>
      <c r="K7" s="38" t="s">
        <v>215</v>
      </c>
      <c r="L7" s="38" t="s">
        <v>216</v>
      </c>
      <c r="M7" s="38" t="s">
        <v>217</v>
      </c>
      <c r="N7" s="38" t="s">
        <v>218</v>
      </c>
      <c r="O7" s="39" t="s">
        <v>219</v>
      </c>
      <c r="P7" s="38" t="s">
        <v>220</v>
      </c>
      <c r="Q7" s="38" t="s">
        <v>221</v>
      </c>
      <c r="R7" s="38" t="s">
        <v>222</v>
      </c>
      <c r="S7" s="38" t="s">
        <v>223</v>
      </c>
      <c r="T7" s="38" t="s">
        <v>224</v>
      </c>
      <c r="U7" s="38" t="s">
        <v>225</v>
      </c>
      <c r="V7" s="38" t="s">
        <v>226</v>
      </c>
      <c r="W7" s="38" t="s">
        <v>227</v>
      </c>
      <c r="X7" s="38" t="s">
        <v>228</v>
      </c>
      <c r="Y7" s="38" t="s">
        <v>229</v>
      </c>
      <c r="Z7" s="38" t="s">
        <v>230</v>
      </c>
      <c r="AA7" s="38" t="s">
        <v>231</v>
      </c>
      <c r="AB7" s="39" t="s">
        <v>232</v>
      </c>
      <c r="AC7" s="38" t="s">
        <v>233</v>
      </c>
      <c r="AD7" s="38" t="s">
        <v>234</v>
      </c>
      <c r="AE7" s="38" t="s">
        <v>235</v>
      </c>
      <c r="AF7" s="38" t="s">
        <v>236</v>
      </c>
      <c r="AG7" s="38" t="s">
        <v>237</v>
      </c>
      <c r="AH7" s="38" t="s">
        <v>238</v>
      </c>
      <c r="AI7" s="38" t="s">
        <v>239</v>
      </c>
      <c r="AJ7" s="38" t="s">
        <v>240</v>
      </c>
      <c r="AK7" s="38" t="s">
        <v>241</v>
      </c>
      <c r="AL7" s="38" t="s">
        <v>242</v>
      </c>
      <c r="AM7" s="38" t="s">
        <v>243</v>
      </c>
      <c r="AN7" s="38" t="s">
        <v>244</v>
      </c>
      <c r="AO7" s="39" t="s">
        <v>245</v>
      </c>
      <c r="AP7" s="38" t="s">
        <v>246</v>
      </c>
      <c r="AQ7" s="38" t="s">
        <v>247</v>
      </c>
      <c r="AR7" s="38" t="s">
        <v>248</v>
      </c>
      <c r="AS7" s="38" t="s">
        <v>249</v>
      </c>
      <c r="AT7" s="38" t="s">
        <v>250</v>
      </c>
      <c r="AU7" s="38" t="s">
        <v>251</v>
      </c>
      <c r="AV7" s="38" t="s">
        <v>252</v>
      </c>
      <c r="AW7" s="38" t="s">
        <v>253</v>
      </c>
      <c r="AX7" s="38" t="s">
        <v>254</v>
      </c>
      <c r="AY7" s="38" t="s">
        <v>255</v>
      </c>
      <c r="AZ7" s="38" t="s">
        <v>256</v>
      </c>
      <c r="BA7" s="38" t="s">
        <v>257</v>
      </c>
      <c r="BB7" s="39" t="s">
        <v>508</v>
      </c>
      <c r="BC7" s="38" t="s">
        <v>258</v>
      </c>
      <c r="BD7" s="38" t="s">
        <v>259</v>
      </c>
      <c r="BE7" s="38" t="s">
        <v>260</v>
      </c>
      <c r="BF7" s="38" t="s">
        <v>261</v>
      </c>
      <c r="BG7" s="38" t="s">
        <v>262</v>
      </c>
      <c r="BH7" s="38" t="s">
        <v>263</v>
      </c>
      <c r="BI7" s="38" t="s">
        <v>264</v>
      </c>
      <c r="BJ7" s="38" t="s">
        <v>265</v>
      </c>
      <c r="BK7" s="38" t="s">
        <v>266</v>
      </c>
      <c r="BL7" s="38" t="s">
        <v>509</v>
      </c>
      <c r="BM7" s="38" t="s">
        <v>267</v>
      </c>
      <c r="BN7" s="38" t="s">
        <v>268</v>
      </c>
      <c r="BO7" s="39" t="s">
        <v>510</v>
      </c>
      <c r="BP7" s="38" t="s">
        <v>269</v>
      </c>
      <c r="BQ7" s="38" t="s">
        <v>270</v>
      </c>
      <c r="BR7" s="38" t="s">
        <v>271</v>
      </c>
      <c r="BS7" s="38" t="s">
        <v>272</v>
      </c>
      <c r="BT7" s="38" t="s">
        <v>273</v>
      </c>
      <c r="BU7" s="38" t="s">
        <v>274</v>
      </c>
      <c r="BV7" s="38" t="s">
        <v>275</v>
      </c>
      <c r="BW7" s="38" t="s">
        <v>276</v>
      </c>
      <c r="BX7" s="38" t="s">
        <v>277</v>
      </c>
      <c r="BY7" s="38" t="s">
        <v>511</v>
      </c>
      <c r="BZ7" s="38" t="s">
        <v>278</v>
      </c>
      <c r="CA7" s="38" t="s">
        <v>279</v>
      </c>
      <c r="CB7" s="39" t="s">
        <v>280</v>
      </c>
      <c r="CC7" s="38" t="s">
        <v>281</v>
      </c>
      <c r="CD7" s="38" t="s">
        <v>282</v>
      </c>
      <c r="CE7" s="38" t="s">
        <v>283</v>
      </c>
      <c r="CF7" s="38" t="s">
        <v>284</v>
      </c>
      <c r="CG7" s="38" t="s">
        <v>285</v>
      </c>
      <c r="CH7" s="38" t="s">
        <v>286</v>
      </c>
      <c r="CI7" s="38" t="s">
        <v>287</v>
      </c>
      <c r="CJ7" s="38" t="s">
        <v>288</v>
      </c>
      <c r="CK7" s="38" t="s">
        <v>289</v>
      </c>
      <c r="CL7" s="38" t="s">
        <v>290</v>
      </c>
      <c r="CM7" s="38" t="s">
        <v>291</v>
      </c>
      <c r="CN7" s="38" t="s">
        <v>292</v>
      </c>
      <c r="CO7" s="39" t="s">
        <v>293</v>
      </c>
      <c r="CP7" s="38" t="s">
        <v>294</v>
      </c>
      <c r="CQ7" s="38" t="s">
        <v>295</v>
      </c>
      <c r="CR7" s="38" t="s">
        <v>296</v>
      </c>
      <c r="CS7" s="38" t="s">
        <v>297</v>
      </c>
      <c r="CT7" s="38" t="s">
        <v>298</v>
      </c>
      <c r="CU7" s="38" t="s">
        <v>299</v>
      </c>
      <c r="CV7" s="38" t="s">
        <v>300</v>
      </c>
      <c r="CW7" s="38" t="s">
        <v>301</v>
      </c>
      <c r="CX7" s="38" t="s">
        <v>302</v>
      </c>
      <c r="CY7" s="38" t="s">
        <v>303</v>
      </c>
      <c r="CZ7" s="38" t="s">
        <v>304</v>
      </c>
      <c r="DA7" s="38" t="s">
        <v>305</v>
      </c>
      <c r="DB7" s="39" t="s">
        <v>306</v>
      </c>
      <c r="DC7" s="38" t="s">
        <v>307</v>
      </c>
      <c r="DD7" s="38" t="s">
        <v>308</v>
      </c>
      <c r="DE7" s="38" t="s">
        <v>309</v>
      </c>
      <c r="DF7" s="38" t="s">
        <v>310</v>
      </c>
      <c r="DG7" s="38" t="s">
        <v>311</v>
      </c>
      <c r="DH7" s="38" t="s">
        <v>312</v>
      </c>
      <c r="DI7" s="38" t="s">
        <v>313</v>
      </c>
      <c r="DJ7" s="38" t="s">
        <v>314</v>
      </c>
      <c r="DK7" s="38" t="s">
        <v>315</v>
      </c>
      <c r="DL7" s="38" t="s">
        <v>316</v>
      </c>
      <c r="DM7" s="38" t="s">
        <v>317</v>
      </c>
      <c r="DN7" s="38" t="s">
        <v>318</v>
      </c>
      <c r="DO7" s="39" t="s">
        <v>319</v>
      </c>
      <c r="DP7" s="38" t="s">
        <v>320</v>
      </c>
      <c r="DQ7" s="38" t="s">
        <v>321</v>
      </c>
      <c r="DR7" s="38" t="s">
        <v>322</v>
      </c>
      <c r="DS7" s="38" t="s">
        <v>323</v>
      </c>
      <c r="DT7" s="38" t="s">
        <v>324</v>
      </c>
      <c r="DU7" s="38" t="s">
        <v>325</v>
      </c>
      <c r="DV7" s="38" t="s">
        <v>326</v>
      </c>
      <c r="DW7" s="38" t="s">
        <v>327</v>
      </c>
      <c r="DX7" s="38" t="s">
        <v>328</v>
      </c>
      <c r="DY7" s="38" t="s">
        <v>329</v>
      </c>
      <c r="DZ7" s="38" t="s">
        <v>330</v>
      </c>
      <c r="EA7" s="38" t="s">
        <v>331</v>
      </c>
      <c r="EB7" s="39" t="s">
        <v>332</v>
      </c>
      <c r="EC7" s="38" t="s">
        <v>333</v>
      </c>
      <c r="ED7" s="38" t="s">
        <v>334</v>
      </c>
      <c r="EE7" s="38" t="s">
        <v>335</v>
      </c>
      <c r="EF7" s="38" t="s">
        <v>336</v>
      </c>
      <c r="EG7" s="38" t="s">
        <v>337</v>
      </c>
      <c r="EH7" s="38" t="s">
        <v>338</v>
      </c>
      <c r="EI7" s="38" t="s">
        <v>339</v>
      </c>
      <c r="EJ7" s="38" t="s">
        <v>340</v>
      </c>
      <c r="EK7" s="38" t="s">
        <v>341</v>
      </c>
      <c r="EL7" s="38" t="s">
        <v>342</v>
      </c>
      <c r="EM7" s="38" t="s">
        <v>343</v>
      </c>
      <c r="EN7" s="38" t="s">
        <v>344</v>
      </c>
      <c r="EO7" s="39" t="s">
        <v>345</v>
      </c>
      <c r="EP7" s="38" t="s">
        <v>346</v>
      </c>
      <c r="EQ7" s="38" t="s">
        <v>347</v>
      </c>
      <c r="ER7" s="38" t="s">
        <v>348</v>
      </c>
      <c r="ES7" s="38" t="s">
        <v>349</v>
      </c>
      <c r="ET7" s="38" t="s">
        <v>350</v>
      </c>
      <c r="EU7" s="38" t="s">
        <v>351</v>
      </c>
      <c r="EV7" s="38" t="s">
        <v>352</v>
      </c>
      <c r="EW7" s="38" t="s">
        <v>353</v>
      </c>
      <c r="EX7" s="38" t="s">
        <v>354</v>
      </c>
      <c r="EY7" s="38" t="s">
        <v>355</v>
      </c>
      <c r="EZ7" s="38" t="s">
        <v>356</v>
      </c>
      <c r="FA7" s="38" t="s">
        <v>357</v>
      </c>
      <c r="FB7" s="39" t="s">
        <v>358</v>
      </c>
      <c r="FC7" s="38" t="s">
        <v>359</v>
      </c>
      <c r="FD7" s="38" t="s">
        <v>360</v>
      </c>
      <c r="FE7" s="38" t="s">
        <v>361</v>
      </c>
      <c r="FF7" s="38" t="s">
        <v>362</v>
      </c>
      <c r="FG7" s="38" t="s">
        <v>363</v>
      </c>
      <c r="FH7" s="38" t="s">
        <v>364</v>
      </c>
      <c r="FI7" s="38" t="s">
        <v>365</v>
      </c>
      <c r="FJ7" s="38" t="s">
        <v>366</v>
      </c>
      <c r="FK7" s="38" t="s">
        <v>367</v>
      </c>
      <c r="FL7" s="38" t="s">
        <v>368</v>
      </c>
      <c r="FM7" s="38" t="s">
        <v>369</v>
      </c>
      <c r="FN7" s="38" t="s">
        <v>370</v>
      </c>
      <c r="FO7" s="39" t="s">
        <v>371</v>
      </c>
      <c r="FP7" s="38" t="s">
        <v>446</v>
      </c>
      <c r="FQ7" s="38" t="s">
        <v>447</v>
      </c>
      <c r="FR7" s="38" t="s">
        <v>448</v>
      </c>
      <c r="FS7" s="38" t="s">
        <v>449</v>
      </c>
      <c r="FT7" s="38" t="s">
        <v>450</v>
      </c>
      <c r="FU7" s="38" t="s">
        <v>451</v>
      </c>
      <c r="FV7" s="38" t="s">
        <v>452</v>
      </c>
      <c r="FW7" s="38" t="s">
        <v>453</v>
      </c>
      <c r="FX7" s="38" t="s">
        <v>454</v>
      </c>
      <c r="FY7" s="38" t="s">
        <v>455</v>
      </c>
      <c r="FZ7" s="38" t="s">
        <v>456</v>
      </c>
      <c r="GA7" s="38" t="s">
        <v>457</v>
      </c>
      <c r="GB7" s="39" t="s">
        <v>458</v>
      </c>
      <c r="GC7" s="38" t="s">
        <v>459</v>
      </c>
      <c r="GD7" s="38" t="s">
        <v>460</v>
      </c>
      <c r="GE7" s="38" t="s">
        <v>461</v>
      </c>
      <c r="GF7" s="38" t="s">
        <v>462</v>
      </c>
      <c r="GG7" s="38" t="s">
        <v>463</v>
      </c>
      <c r="GH7" s="38" t="s">
        <v>464</v>
      </c>
      <c r="GI7" s="38" t="s">
        <v>465</v>
      </c>
      <c r="GJ7" s="38" t="s">
        <v>466</v>
      </c>
      <c r="GK7" s="38" t="s">
        <v>467</v>
      </c>
      <c r="GL7" s="38" t="s">
        <v>468</v>
      </c>
      <c r="GM7" s="38" t="s">
        <v>469</v>
      </c>
      <c r="GN7" s="38" t="s">
        <v>470</v>
      </c>
      <c r="GO7" s="39" t="s">
        <v>471</v>
      </c>
      <c r="GP7" s="38" t="s">
        <v>512</v>
      </c>
      <c r="GQ7" s="38" t="s">
        <v>513</v>
      </c>
      <c r="GR7" s="38" t="s">
        <v>514</v>
      </c>
      <c r="GS7" s="38" t="s">
        <v>515</v>
      </c>
      <c r="GT7" s="38" t="s">
        <v>516</v>
      </c>
      <c r="GU7" s="38" t="s">
        <v>517</v>
      </c>
      <c r="GV7" s="38" t="s">
        <v>518</v>
      </c>
      <c r="GW7" s="38" t="s">
        <v>519</v>
      </c>
      <c r="GX7" s="38" t="s">
        <v>520</v>
      </c>
      <c r="GY7" s="38" t="s">
        <v>521</v>
      </c>
      <c r="GZ7" s="38" t="s">
        <v>522</v>
      </c>
      <c r="HA7" s="38" t="s">
        <v>523</v>
      </c>
      <c r="HB7" s="39" t="s">
        <v>524</v>
      </c>
      <c r="HC7" s="38" t="s">
        <v>58</v>
      </c>
      <c r="HD7" s="38" t="s">
        <v>39</v>
      </c>
      <c r="HE7" s="38" t="s">
        <v>40</v>
      </c>
      <c r="HF7" s="38" t="s">
        <v>41</v>
      </c>
      <c r="HG7" s="38" t="s">
        <v>42</v>
      </c>
      <c r="HH7" s="38" t="s">
        <v>43</v>
      </c>
      <c r="HI7" s="38" t="s">
        <v>44</v>
      </c>
      <c r="HJ7" s="38" t="s">
        <v>45</v>
      </c>
      <c r="HK7" s="38" t="s">
        <v>46</v>
      </c>
      <c r="HL7" s="38" t="s">
        <v>47</v>
      </c>
      <c r="HM7" s="38" t="s">
        <v>48</v>
      </c>
      <c r="HN7" s="38" t="s">
        <v>49</v>
      </c>
      <c r="HO7" s="39" t="s">
        <v>372</v>
      </c>
      <c r="HP7" s="38" t="s">
        <v>38</v>
      </c>
      <c r="HQ7" s="38" t="s">
        <v>39</v>
      </c>
      <c r="HR7" s="38" t="s">
        <v>40</v>
      </c>
      <c r="HS7" s="38" t="s">
        <v>41</v>
      </c>
      <c r="HT7" s="38" t="s">
        <v>42</v>
      </c>
      <c r="HU7" s="38" t="s">
        <v>43</v>
      </c>
      <c r="HV7" s="38" t="s">
        <v>44</v>
      </c>
      <c r="HW7" s="38" t="s">
        <v>45</v>
      </c>
      <c r="HX7" s="38" t="s">
        <v>46</v>
      </c>
      <c r="HY7" s="38" t="s">
        <v>47</v>
      </c>
      <c r="HZ7" s="38" t="s">
        <v>48</v>
      </c>
      <c r="IA7" s="38" t="s">
        <v>49</v>
      </c>
      <c r="IB7" s="39" t="s">
        <v>372</v>
      </c>
      <c r="IC7" s="38" t="s">
        <v>38</v>
      </c>
      <c r="ID7" s="38" t="s">
        <v>39</v>
      </c>
      <c r="IE7" s="38" t="s">
        <v>40</v>
      </c>
      <c r="IF7" s="38" t="s">
        <v>41</v>
      </c>
      <c r="IG7" s="38" t="s">
        <v>42</v>
      </c>
      <c r="IH7" s="38" t="s">
        <v>43</v>
      </c>
      <c r="II7" s="38" t="s">
        <v>44</v>
      </c>
      <c r="IJ7" s="38" t="s">
        <v>45</v>
      </c>
      <c r="IK7" s="38" t="s">
        <v>46</v>
      </c>
      <c r="IL7" s="38" t="s">
        <v>47</v>
      </c>
      <c r="IM7" s="38" t="s">
        <v>48</v>
      </c>
      <c r="IN7" s="38" t="s">
        <v>49</v>
      </c>
      <c r="IO7" s="39" t="s">
        <v>372</v>
      </c>
      <c r="IP7" s="38" t="s">
        <v>38</v>
      </c>
      <c r="IQ7" s="38" t="s">
        <v>39</v>
      </c>
      <c r="IR7" s="38" t="s">
        <v>40</v>
      </c>
      <c r="IS7" s="38" t="s">
        <v>41</v>
      </c>
      <c r="IT7" s="38" t="s">
        <v>42</v>
      </c>
      <c r="IU7" s="38" t="s">
        <v>43</v>
      </c>
      <c r="IV7" s="38" t="s">
        <v>44</v>
      </c>
    </row>
    <row r="8" spans="1:256" ht="14.25">
      <c r="A8" s="48"/>
      <c r="B8" s="92" t="s">
        <v>377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  <c r="IC8" s="93"/>
      <c r="ID8" s="93"/>
      <c r="IE8" s="93"/>
      <c r="IF8" s="93"/>
      <c r="IG8" s="93"/>
      <c r="IH8" s="93"/>
      <c r="II8" s="93"/>
      <c r="IJ8" s="93"/>
      <c r="IK8" s="93"/>
      <c r="IL8" s="93"/>
      <c r="IM8" s="93"/>
      <c r="IN8" s="93"/>
      <c r="IO8" s="93"/>
      <c r="IP8" s="93"/>
      <c r="IQ8" s="93"/>
      <c r="IR8" s="93"/>
      <c r="IS8" s="93"/>
      <c r="IT8" s="93"/>
      <c r="IU8" s="93"/>
      <c r="IV8" s="93"/>
    </row>
    <row r="9" spans="1:256" s="51" customFormat="1" ht="14.25" outlineLevel="1">
      <c r="A9" s="48"/>
      <c r="B9" s="94" t="s">
        <v>378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93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93"/>
      <c r="AC9" s="49"/>
      <c r="AD9" s="49"/>
      <c r="AE9" s="49"/>
      <c r="AF9" s="49"/>
      <c r="AG9" s="49"/>
      <c r="AH9" s="49"/>
      <c r="AI9" s="49"/>
      <c r="AJ9" s="49"/>
      <c r="AK9" s="49"/>
      <c r="AL9" s="49">
        <f>AL10</f>
        <v>3342.3588543999995</v>
      </c>
      <c r="AM9" s="49">
        <f>AM10</f>
        <v>8227.7858384</v>
      </c>
      <c r="AN9" s="49">
        <f>AN10</f>
        <v>11925.3062048</v>
      </c>
      <c r="AO9" s="93">
        <f aca="true" t="shared" si="0" ref="AO9:AO46">AN9+AM9+AL9+AK9+AJ9+AI9+AH9+AG9+AF9+AE9+AD9+AC9</f>
        <v>23495.4508976</v>
      </c>
      <c r="AP9" s="49">
        <f aca="true" t="shared" si="1" ref="AP9:BA9">AP10</f>
        <v>15039.751783999998</v>
      </c>
      <c r="AQ9" s="49">
        <f t="shared" si="1"/>
        <v>15815.372027200001</v>
      </c>
      <c r="AR9" s="49">
        <f t="shared" si="1"/>
        <v>13359.0610144</v>
      </c>
      <c r="AS9" s="49">
        <f t="shared" si="1"/>
        <v>11363.988039999998</v>
      </c>
      <c r="AT9" s="49">
        <f t="shared" si="1"/>
        <v>7650.149891200001</v>
      </c>
      <c r="AU9" s="49">
        <f t="shared" si="1"/>
        <v>2646.150304</v>
      </c>
      <c r="AV9" s="49">
        <f t="shared" si="1"/>
        <v>1355.2655104</v>
      </c>
      <c r="AW9" s="49">
        <f t="shared" si="1"/>
        <v>1355.2655104</v>
      </c>
      <c r="AX9" s="49">
        <f t="shared" si="1"/>
        <v>1355.2655104</v>
      </c>
      <c r="AY9" s="49">
        <f t="shared" si="1"/>
        <v>7469.5105504</v>
      </c>
      <c r="AZ9" s="49">
        <f t="shared" si="1"/>
        <v>17215.7245744</v>
      </c>
      <c r="BA9" s="49">
        <f t="shared" si="1"/>
        <v>24592.117134400003</v>
      </c>
      <c r="BB9" s="93">
        <f aca="true" t="shared" si="2" ref="BB9:BB54">BA9+AZ9+AY9+AX9+AW9+AV9+AU9+AT9+AS9+AR9+AQ9+AP9</f>
        <v>119217.6218512</v>
      </c>
      <c r="BC9" s="49">
        <f aca="true" t="shared" si="3" ref="BC9:DP9">BC10</f>
        <v>30805.300670399996</v>
      </c>
      <c r="BD9" s="49">
        <f t="shared" si="3"/>
        <v>32352.628558399996</v>
      </c>
      <c r="BE9" s="49">
        <f t="shared" si="3"/>
        <v>27452.395305599995</v>
      </c>
      <c r="BF9" s="49">
        <f t="shared" si="3"/>
        <v>23472.311947199996</v>
      </c>
      <c r="BG9" s="49">
        <f t="shared" si="3"/>
        <v>16063.366719999998</v>
      </c>
      <c r="BH9" s="49">
        <f t="shared" si="3"/>
        <v>6080.605446399999</v>
      </c>
      <c r="BI9" s="49">
        <f t="shared" si="3"/>
        <v>3572.0188703999997</v>
      </c>
      <c r="BJ9" s="49">
        <f t="shared" si="3"/>
        <v>3572.0188703999997</v>
      </c>
      <c r="BK9" s="49">
        <f t="shared" si="3"/>
        <v>3572.0188703999997</v>
      </c>
      <c r="BL9" s="49">
        <f t="shared" si="3"/>
        <v>7469.5105504</v>
      </c>
      <c r="BM9" s="49">
        <f t="shared" si="3"/>
        <v>17215.7245744</v>
      </c>
      <c r="BN9" s="49">
        <f t="shared" si="3"/>
        <v>24592.117134400003</v>
      </c>
      <c r="BO9" s="93">
        <f aca="true" t="shared" si="4" ref="BO9:BO54">BN9+BM9+BL9+BK9+BJ9+BI9+BH9+BG9+BF9+BE9+BD9+BC9</f>
        <v>196220.0175184</v>
      </c>
      <c r="BP9" s="49">
        <f t="shared" si="3"/>
        <v>30805.300670399996</v>
      </c>
      <c r="BQ9" s="49">
        <f t="shared" si="3"/>
        <v>32352.628558399996</v>
      </c>
      <c r="BR9" s="49">
        <f t="shared" si="3"/>
        <v>27452.395305599995</v>
      </c>
      <c r="BS9" s="49">
        <f t="shared" si="3"/>
        <v>23472.311947199996</v>
      </c>
      <c r="BT9" s="49">
        <f t="shared" si="3"/>
        <v>16063.366719999998</v>
      </c>
      <c r="BU9" s="49">
        <f t="shared" si="3"/>
        <v>6080.605446399999</v>
      </c>
      <c r="BV9" s="49">
        <f t="shared" si="3"/>
        <v>3572.0188703999997</v>
      </c>
      <c r="BW9" s="49">
        <f t="shared" si="3"/>
        <v>3572.0188703999997</v>
      </c>
      <c r="BX9" s="49">
        <f t="shared" si="3"/>
        <v>3572.0188703999997</v>
      </c>
      <c r="BY9" s="49">
        <f t="shared" si="3"/>
        <v>7469.5105504</v>
      </c>
      <c r="BZ9" s="49">
        <f t="shared" si="3"/>
        <v>17215.7245744</v>
      </c>
      <c r="CA9" s="49">
        <f t="shared" si="3"/>
        <v>24592.117134400003</v>
      </c>
      <c r="CB9" s="93">
        <f aca="true" t="shared" si="5" ref="CB9:CB33">CA9+BZ9+BY9+BX9+BW9+BV9+BU9+BT9+BS9+BR9+BQ9+BP9</f>
        <v>196220.0175184</v>
      </c>
      <c r="CC9" s="49">
        <f t="shared" si="3"/>
        <v>30805.300670399996</v>
      </c>
      <c r="CD9" s="49">
        <f t="shared" si="3"/>
        <v>32352.628558399996</v>
      </c>
      <c r="CE9" s="49">
        <f t="shared" si="3"/>
        <v>27452.395305599995</v>
      </c>
      <c r="CF9" s="49">
        <f t="shared" si="3"/>
        <v>23472.311947199996</v>
      </c>
      <c r="CG9" s="49">
        <f t="shared" si="3"/>
        <v>16063.366719999998</v>
      </c>
      <c r="CH9" s="49">
        <f t="shared" si="3"/>
        <v>6080.605446399999</v>
      </c>
      <c r="CI9" s="49">
        <f t="shared" si="3"/>
        <v>3572.0188703999997</v>
      </c>
      <c r="CJ9" s="49">
        <f t="shared" si="3"/>
        <v>3572.0188703999997</v>
      </c>
      <c r="CK9" s="49">
        <f t="shared" si="3"/>
        <v>3572.0188703999997</v>
      </c>
      <c r="CL9" s="49">
        <f t="shared" si="3"/>
        <v>7469.5105504</v>
      </c>
      <c r="CM9" s="49">
        <f t="shared" si="3"/>
        <v>17215.7245744</v>
      </c>
      <c r="CN9" s="49">
        <f t="shared" si="3"/>
        <v>24592.117134400003</v>
      </c>
      <c r="CO9" s="93">
        <f aca="true" t="shared" si="6" ref="CO9:CO33">CN9+CM9+CL9+CK9+CJ9+CI9+CH9+CG9+CF9+CE9+CD9+CC9</f>
        <v>196220.0175184</v>
      </c>
      <c r="CP9" s="49">
        <f t="shared" si="3"/>
        <v>30805.300670399996</v>
      </c>
      <c r="CQ9" s="49">
        <f t="shared" si="3"/>
        <v>32352.628558399996</v>
      </c>
      <c r="CR9" s="49">
        <f t="shared" si="3"/>
        <v>27452.395305599995</v>
      </c>
      <c r="CS9" s="49">
        <f t="shared" si="3"/>
        <v>23472.311947199996</v>
      </c>
      <c r="CT9" s="49">
        <f t="shared" si="3"/>
        <v>16063.366719999998</v>
      </c>
      <c r="CU9" s="49">
        <f t="shared" si="3"/>
        <v>6080.605446399999</v>
      </c>
      <c r="CV9" s="49">
        <f t="shared" si="3"/>
        <v>3572.0188703999997</v>
      </c>
      <c r="CW9" s="49">
        <f t="shared" si="3"/>
        <v>3572.0188703999997</v>
      </c>
      <c r="CX9" s="49">
        <f t="shared" si="3"/>
        <v>3572.0188703999997</v>
      </c>
      <c r="CY9" s="49">
        <f t="shared" si="3"/>
        <v>7469.5105504</v>
      </c>
      <c r="CZ9" s="49">
        <f t="shared" si="3"/>
        <v>17215.7245744</v>
      </c>
      <c r="DA9" s="49">
        <f t="shared" si="3"/>
        <v>24592.117134400003</v>
      </c>
      <c r="DB9" s="93">
        <f aca="true" t="shared" si="7" ref="DB9:DB33">DA9+CZ9+CY9+CX9+CW9+CV9+CU9+CT9+CS9+CR9+CQ9+CP9</f>
        <v>196220.0175184</v>
      </c>
      <c r="DC9" s="49">
        <f t="shared" si="3"/>
        <v>30805.300670399996</v>
      </c>
      <c r="DD9" s="49">
        <f t="shared" si="3"/>
        <v>32352.628558399996</v>
      </c>
      <c r="DE9" s="49">
        <f t="shared" si="3"/>
        <v>27452.395305599995</v>
      </c>
      <c r="DF9" s="49">
        <f t="shared" si="3"/>
        <v>23472.311947199996</v>
      </c>
      <c r="DG9" s="49">
        <f t="shared" si="3"/>
        <v>16063.366719999998</v>
      </c>
      <c r="DH9" s="49">
        <f t="shared" si="3"/>
        <v>6080.605446399999</v>
      </c>
      <c r="DI9" s="49">
        <f t="shared" si="3"/>
        <v>3572.0188703999997</v>
      </c>
      <c r="DJ9" s="49">
        <f t="shared" si="3"/>
        <v>3572.0188703999997</v>
      </c>
      <c r="DK9" s="49">
        <f t="shared" si="3"/>
        <v>3572.0188703999997</v>
      </c>
      <c r="DL9" s="49">
        <f t="shared" si="3"/>
        <v>7469.5105504</v>
      </c>
      <c r="DM9" s="49">
        <f t="shared" si="3"/>
        <v>17215.7245744</v>
      </c>
      <c r="DN9" s="49">
        <f t="shared" si="3"/>
        <v>24592.117134400003</v>
      </c>
      <c r="DO9" s="93">
        <f aca="true" t="shared" si="8" ref="DO9:DO33">DN9+DM9+DL9+DK9+DJ9+DI9+DH9+DG9+DF9+DE9+DD9+DC9</f>
        <v>196220.0175184</v>
      </c>
      <c r="DP9" s="49">
        <f t="shared" si="3"/>
        <v>30805.300670399996</v>
      </c>
      <c r="DQ9" s="49">
        <f aca="true" t="shared" si="9" ref="DQ9:EN9">DQ10</f>
        <v>32352.628558399996</v>
      </c>
      <c r="DR9" s="49">
        <f t="shared" si="9"/>
        <v>27452.395305599995</v>
      </c>
      <c r="DS9" s="49">
        <f t="shared" si="9"/>
        <v>23472.311947199996</v>
      </c>
      <c r="DT9" s="49">
        <f t="shared" si="9"/>
        <v>16063.366719999998</v>
      </c>
      <c r="DU9" s="49">
        <f t="shared" si="9"/>
        <v>6080.605446399999</v>
      </c>
      <c r="DV9" s="49">
        <f t="shared" si="9"/>
        <v>3572.0188703999997</v>
      </c>
      <c r="DW9" s="49">
        <f t="shared" si="9"/>
        <v>3572.0188703999997</v>
      </c>
      <c r="DX9" s="49">
        <f t="shared" si="9"/>
        <v>3572.0188703999997</v>
      </c>
      <c r="DY9" s="49">
        <f t="shared" si="9"/>
        <v>7469.5105504</v>
      </c>
      <c r="DZ9" s="49">
        <f t="shared" si="9"/>
        <v>17215.7245744</v>
      </c>
      <c r="EA9" s="49">
        <f t="shared" si="9"/>
        <v>24592.117134400003</v>
      </c>
      <c r="EB9" s="93">
        <f aca="true" t="shared" si="10" ref="EB9:EB33">EA9+DZ9+DY9+DX9+DW9+DV9+DU9+DT9+DS9+DR9+DQ9+DP9</f>
        <v>196220.0175184</v>
      </c>
      <c r="EC9" s="49">
        <f aca="true" t="shared" si="11" ref="EC9:GP9">EC10</f>
        <v>30805.300670399996</v>
      </c>
      <c r="ED9" s="49">
        <f t="shared" si="9"/>
        <v>32352.628558399996</v>
      </c>
      <c r="EE9" s="49">
        <f t="shared" si="9"/>
        <v>27452.395305599995</v>
      </c>
      <c r="EF9" s="49">
        <f t="shared" si="9"/>
        <v>23472.311947199996</v>
      </c>
      <c r="EG9" s="49">
        <f t="shared" si="9"/>
        <v>16063.366719999998</v>
      </c>
      <c r="EH9" s="49">
        <f t="shared" si="9"/>
        <v>6080.605446399999</v>
      </c>
      <c r="EI9" s="49">
        <f t="shared" si="9"/>
        <v>3572.0188703999997</v>
      </c>
      <c r="EJ9" s="49">
        <f t="shared" si="9"/>
        <v>3572.0188703999997</v>
      </c>
      <c r="EK9" s="49">
        <f t="shared" si="9"/>
        <v>3572.0188703999997</v>
      </c>
      <c r="EL9" s="49">
        <f t="shared" si="9"/>
        <v>7469.5105504</v>
      </c>
      <c r="EM9" s="49">
        <f t="shared" si="9"/>
        <v>17215.7245744</v>
      </c>
      <c r="EN9" s="49">
        <f t="shared" si="9"/>
        <v>24592.117134400003</v>
      </c>
      <c r="EO9" s="93">
        <f aca="true" t="shared" si="12" ref="EO9:EO33">EN9+EM9+EL9+EK9+EJ9+EI9+EH9+EG9+EF9+EE9+ED9+EC9</f>
        <v>196220.0175184</v>
      </c>
      <c r="EP9" s="49">
        <f t="shared" si="11"/>
        <v>30805.300670399996</v>
      </c>
      <c r="EQ9" s="49">
        <f t="shared" si="11"/>
        <v>32352.628558399996</v>
      </c>
      <c r="ER9" s="49">
        <f t="shared" si="11"/>
        <v>27452.395305599995</v>
      </c>
      <c r="ES9" s="49">
        <f t="shared" si="11"/>
        <v>23472.311947199996</v>
      </c>
      <c r="ET9" s="49">
        <f t="shared" si="11"/>
        <v>16063.366719999998</v>
      </c>
      <c r="EU9" s="49">
        <f t="shared" si="11"/>
        <v>6080.605446399999</v>
      </c>
      <c r="EV9" s="49">
        <f t="shared" si="11"/>
        <v>3572.0188703999997</v>
      </c>
      <c r="EW9" s="49">
        <f t="shared" si="11"/>
        <v>3572.0188703999997</v>
      </c>
      <c r="EX9" s="49">
        <f t="shared" si="11"/>
        <v>3572.0188703999997</v>
      </c>
      <c r="EY9" s="49">
        <f t="shared" si="11"/>
        <v>7469.5105504</v>
      </c>
      <c r="EZ9" s="49">
        <f t="shared" si="11"/>
        <v>17215.7245744</v>
      </c>
      <c r="FA9" s="49">
        <f t="shared" si="11"/>
        <v>24592.117134400003</v>
      </c>
      <c r="FB9" s="93">
        <f aca="true" t="shared" si="13" ref="FB9:FB33">FA9+EZ9+EY9+EX9+EW9+EV9+EU9+ET9+ES9+ER9+EQ9+EP9</f>
        <v>196220.0175184</v>
      </c>
      <c r="FC9" s="49">
        <f t="shared" si="11"/>
        <v>30805.300670399996</v>
      </c>
      <c r="FD9" s="49">
        <f t="shared" si="11"/>
        <v>32352.628558399996</v>
      </c>
      <c r="FE9" s="49">
        <f t="shared" si="11"/>
        <v>27452.395305599995</v>
      </c>
      <c r="FF9" s="49">
        <f t="shared" si="11"/>
        <v>23472.311947199996</v>
      </c>
      <c r="FG9" s="49">
        <f t="shared" si="11"/>
        <v>16063.366719999998</v>
      </c>
      <c r="FH9" s="49">
        <f t="shared" si="11"/>
        <v>6080.605446399999</v>
      </c>
      <c r="FI9" s="49">
        <f t="shared" si="11"/>
        <v>3572.0188703999997</v>
      </c>
      <c r="FJ9" s="49">
        <f t="shared" si="11"/>
        <v>3572.0188703999997</v>
      </c>
      <c r="FK9" s="49">
        <f t="shared" si="11"/>
        <v>3572.0188703999997</v>
      </c>
      <c r="FL9" s="49">
        <f t="shared" si="11"/>
        <v>7469.5105504</v>
      </c>
      <c r="FM9" s="49">
        <f t="shared" si="11"/>
        <v>17215.7245744</v>
      </c>
      <c r="FN9" s="49">
        <f t="shared" si="11"/>
        <v>24592.117134400003</v>
      </c>
      <c r="FO9" s="93">
        <f aca="true" t="shared" si="14" ref="FO9:FO33">FN9+FM9+FL9+FK9+FJ9+FI9+FH9+FG9+FF9+FE9+FD9+FC9</f>
        <v>196220.0175184</v>
      </c>
      <c r="FP9" s="49">
        <f t="shared" si="11"/>
        <v>30805.300670399996</v>
      </c>
      <c r="FQ9" s="49">
        <f t="shared" si="11"/>
        <v>32352.628558399996</v>
      </c>
      <c r="FR9" s="49">
        <f t="shared" si="11"/>
        <v>27452.395305599995</v>
      </c>
      <c r="FS9" s="49">
        <f t="shared" si="11"/>
        <v>23472.311947199996</v>
      </c>
      <c r="FT9" s="49">
        <f t="shared" si="11"/>
        <v>16063.366719999998</v>
      </c>
      <c r="FU9" s="49">
        <f t="shared" si="11"/>
        <v>6080.605446399999</v>
      </c>
      <c r="FV9" s="49">
        <f t="shared" si="11"/>
        <v>3572.0188703999997</v>
      </c>
      <c r="FW9" s="49">
        <f t="shared" si="11"/>
        <v>3572.0188703999997</v>
      </c>
      <c r="FX9" s="49">
        <f t="shared" si="11"/>
        <v>3572.0188703999997</v>
      </c>
      <c r="FY9" s="49">
        <f t="shared" si="11"/>
        <v>7469.5105504</v>
      </c>
      <c r="FZ9" s="49">
        <f t="shared" si="11"/>
        <v>17215.7245744</v>
      </c>
      <c r="GA9" s="49">
        <f t="shared" si="11"/>
        <v>24592.117134400003</v>
      </c>
      <c r="GB9" s="93">
        <f aca="true" t="shared" si="15" ref="GB9:GB33">GA9+FZ9+FY9+FX9+FW9+FV9+FU9+FT9+FS9+FR9+FQ9+FP9</f>
        <v>196220.0175184</v>
      </c>
      <c r="GC9" s="49">
        <f t="shared" si="11"/>
        <v>30805.300670399996</v>
      </c>
      <c r="GD9" s="49">
        <f t="shared" si="11"/>
        <v>32352.628558399996</v>
      </c>
      <c r="GE9" s="49">
        <f t="shared" si="11"/>
        <v>27452.395305599995</v>
      </c>
      <c r="GF9" s="49">
        <f t="shared" si="11"/>
        <v>23472.311947199996</v>
      </c>
      <c r="GG9" s="49">
        <f t="shared" si="11"/>
        <v>16063.366719999998</v>
      </c>
      <c r="GH9" s="49">
        <f t="shared" si="11"/>
        <v>6080.605446399999</v>
      </c>
      <c r="GI9" s="49">
        <f t="shared" si="11"/>
        <v>3572.0188703999997</v>
      </c>
      <c r="GJ9" s="49">
        <f t="shared" si="11"/>
        <v>3572.0188703999997</v>
      </c>
      <c r="GK9" s="49">
        <f t="shared" si="11"/>
        <v>3572.0188703999997</v>
      </c>
      <c r="GL9" s="49">
        <f t="shared" si="11"/>
        <v>7469.5105504</v>
      </c>
      <c r="GM9" s="49">
        <f t="shared" si="11"/>
        <v>17215.7245744</v>
      </c>
      <c r="GN9" s="49">
        <f t="shared" si="11"/>
        <v>24592.117134400003</v>
      </c>
      <c r="GO9" s="93">
        <f aca="true" t="shared" si="16" ref="GO9:GO55">GN9+GM9+GL9+GK9+GJ9+GI9+GH9+GG9+GF9+GE9+GD9+GC9</f>
        <v>196220.0175184</v>
      </c>
      <c r="GP9" s="49">
        <f t="shared" si="11"/>
        <v>30805.300670399996</v>
      </c>
      <c r="GQ9" s="49">
        <f aca="true" t="shared" si="17" ref="GQ9:HA9">GQ10</f>
        <v>32352.628558399996</v>
      </c>
      <c r="GR9" s="49">
        <f t="shared" si="17"/>
        <v>27452.395305599995</v>
      </c>
      <c r="GS9" s="49">
        <f t="shared" si="17"/>
        <v>23472.311947199996</v>
      </c>
      <c r="GT9" s="49">
        <f t="shared" si="17"/>
        <v>16063.366719999998</v>
      </c>
      <c r="GU9" s="49">
        <f t="shared" si="17"/>
        <v>6080.605446399999</v>
      </c>
      <c r="GV9" s="49">
        <f t="shared" si="17"/>
        <v>3572.0188703999997</v>
      </c>
      <c r="GW9" s="49">
        <f t="shared" si="17"/>
        <v>3572.0188703999997</v>
      </c>
      <c r="GX9" s="49">
        <f t="shared" si="17"/>
        <v>3572.0188703999997</v>
      </c>
      <c r="GY9" s="49">
        <f t="shared" si="17"/>
        <v>7469.5105504</v>
      </c>
      <c r="GZ9" s="49">
        <f t="shared" si="17"/>
        <v>17215.7245744</v>
      </c>
      <c r="HA9" s="49">
        <f t="shared" si="17"/>
        <v>24592.117134400003</v>
      </c>
      <c r="HB9" s="93">
        <f aca="true" t="shared" si="18" ref="HB9:HB34">HA9+GZ9+GY9+GX9+GW9+GV9+GU9+GT9+GS9+GR9+GQ9+GP9</f>
        <v>196220.0175184</v>
      </c>
      <c r="HC9" s="49">
        <f aca="true" t="shared" si="19" ref="HC9:HC55">HB9+GO9+GB9+FO9+FB9+EO9+EB9+DO9+DB9+CO9+CB9+BO9+BB9+AO9+AB9+O9</f>
        <v>2497353.2829696</v>
      </c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93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93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93"/>
      <c r="IP9" s="49"/>
      <c r="IQ9" s="49"/>
      <c r="IR9" s="49"/>
      <c r="IS9" s="49"/>
      <c r="IT9" s="49"/>
      <c r="IU9" s="49"/>
      <c r="IV9" s="49"/>
    </row>
    <row r="10" spans="2:256" ht="14.25" outlineLevel="2">
      <c r="B10" s="52" t="s">
        <v>443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95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95"/>
      <c r="AC10" s="53"/>
      <c r="AD10" s="53"/>
      <c r="AE10" s="53"/>
      <c r="AF10" s="53"/>
      <c r="AG10" s="53"/>
      <c r="AH10" s="53"/>
      <c r="AI10" s="53"/>
      <c r="AJ10" s="53"/>
      <c r="AK10" s="53"/>
      <c r="AL10" s="53">
        <f>'График транспортирования'!E12*42.08/1000</f>
        <v>3342.3588543999995</v>
      </c>
      <c r="AM10" s="53">
        <f>'График транспортирования'!E13*42.08/1000</f>
        <v>8227.7858384</v>
      </c>
      <c r="AN10" s="53">
        <f>'График транспортирования'!E14*42.08/1000</f>
        <v>11925.3062048</v>
      </c>
      <c r="AO10" s="93">
        <f t="shared" si="0"/>
        <v>23495.4508976</v>
      </c>
      <c r="AP10" s="53">
        <f>'График транспортирования'!E15*42.08/1000</f>
        <v>15039.751783999998</v>
      </c>
      <c r="AQ10" s="53">
        <f>'График транспортирования'!E4*42.08/1000</f>
        <v>15815.372027200001</v>
      </c>
      <c r="AR10" s="53">
        <f>'График транспортирования'!E5*42.08/1000</f>
        <v>13359.0610144</v>
      </c>
      <c r="AS10" s="53">
        <f>'График транспортирования'!E6*42.08/1000</f>
        <v>11363.988039999998</v>
      </c>
      <c r="AT10" s="53">
        <f>'График транспортирования'!E7*42.08/1000</f>
        <v>7650.149891200001</v>
      </c>
      <c r="AU10" s="53">
        <f>'График транспортирования'!E8*42.08/1000</f>
        <v>2646.150304</v>
      </c>
      <c r="AV10" s="53">
        <f>'График транспортирования'!E9*42.08/1000</f>
        <v>1355.2655104</v>
      </c>
      <c r="AW10" s="53">
        <f>'График транспортирования'!E10*42.08/1000</f>
        <v>1355.2655104</v>
      </c>
      <c r="AX10" s="53">
        <f>'График транспортирования'!E11*42.08/1000</f>
        <v>1355.2655104</v>
      </c>
      <c r="AY10" s="53">
        <f>'График транспортирования'!I12*42.08/1000</f>
        <v>7469.5105504</v>
      </c>
      <c r="AZ10" s="53">
        <f>'График транспортирования'!I13*42.08/1000</f>
        <v>17215.7245744</v>
      </c>
      <c r="BA10" s="53">
        <f>'График транспортирования'!I14*42.08/1000</f>
        <v>24592.117134400003</v>
      </c>
      <c r="BB10" s="93">
        <f t="shared" si="2"/>
        <v>119217.6218512</v>
      </c>
      <c r="BC10" s="53">
        <f>'График транспортирования'!I15*42.08/1000</f>
        <v>30805.300670399996</v>
      </c>
      <c r="BD10" s="53">
        <f>'График транспортирования'!I4*42.08/1000</f>
        <v>32352.628558399996</v>
      </c>
      <c r="BE10" s="53">
        <f>'График транспортирования'!I5*42.08/1000</f>
        <v>27452.395305599995</v>
      </c>
      <c r="BF10" s="53">
        <f>'График транспортирования'!I6*42.08/1000</f>
        <v>23472.311947199996</v>
      </c>
      <c r="BG10" s="53">
        <f>'График транспортирования'!I7*42.08/1000</f>
        <v>16063.366719999998</v>
      </c>
      <c r="BH10" s="53">
        <f>'График транспортирования'!I8*42.08/1000</f>
        <v>6080.605446399999</v>
      </c>
      <c r="BI10" s="53">
        <f>'График транспортирования'!I9*42.08/1000</f>
        <v>3572.0188703999997</v>
      </c>
      <c r="BJ10" s="53">
        <f>'График транспортирования'!I10*42.08/1000</f>
        <v>3572.0188703999997</v>
      </c>
      <c r="BK10" s="53">
        <f>'График транспортирования'!I11*42.08/1000</f>
        <v>3572.0188703999997</v>
      </c>
      <c r="BL10" s="53">
        <f>'График транспортирования'!I12*42.08/1000</f>
        <v>7469.5105504</v>
      </c>
      <c r="BM10" s="53">
        <f>'График транспортирования'!I13*42.08/1000</f>
        <v>17215.7245744</v>
      </c>
      <c r="BN10" s="53">
        <f>'График транспортирования'!I14*42.08/1000</f>
        <v>24592.117134400003</v>
      </c>
      <c r="BO10" s="93">
        <f t="shared" si="4"/>
        <v>196220.0175184</v>
      </c>
      <c r="BP10" s="53">
        <f>'График транспортирования'!I15*42.08/1000</f>
        <v>30805.300670399996</v>
      </c>
      <c r="BQ10" s="53">
        <f>'График транспортирования'!I4*42.08/1000</f>
        <v>32352.628558399996</v>
      </c>
      <c r="BR10" s="53">
        <f>'График транспортирования'!I5*42.08/1000</f>
        <v>27452.395305599995</v>
      </c>
      <c r="BS10" s="53">
        <f>'График транспортирования'!I6*42.08/1000</f>
        <v>23472.311947199996</v>
      </c>
      <c r="BT10" s="53">
        <f>'График транспортирования'!I7*42.08/1000</f>
        <v>16063.366719999998</v>
      </c>
      <c r="BU10" s="53">
        <f>'График транспортирования'!I8*42.08/1000</f>
        <v>6080.605446399999</v>
      </c>
      <c r="BV10" s="53">
        <f>'График транспортирования'!I9*42.08/1000</f>
        <v>3572.0188703999997</v>
      </c>
      <c r="BW10" s="53">
        <f>'График транспортирования'!I10*42.08/1000</f>
        <v>3572.0188703999997</v>
      </c>
      <c r="BX10" s="53">
        <f>'График транспортирования'!I11*42.08/1000</f>
        <v>3572.0188703999997</v>
      </c>
      <c r="BY10" s="53">
        <f>'График транспортирования'!I12*42.08/1000</f>
        <v>7469.5105504</v>
      </c>
      <c r="BZ10" s="53">
        <f>'График транспортирования'!I13*42.08/1000</f>
        <v>17215.7245744</v>
      </c>
      <c r="CA10" s="53">
        <f>'График транспортирования'!I14*42.08/1000</f>
        <v>24592.117134400003</v>
      </c>
      <c r="CB10" s="93">
        <f t="shared" si="5"/>
        <v>196220.0175184</v>
      </c>
      <c r="CC10" s="53">
        <f>'График транспортирования'!I15*42.08/1000</f>
        <v>30805.300670399996</v>
      </c>
      <c r="CD10" s="53">
        <f>'График транспортирования'!I4*42.08/1000</f>
        <v>32352.628558399996</v>
      </c>
      <c r="CE10" s="53">
        <f>'График транспортирования'!I5*42.08/1000</f>
        <v>27452.395305599995</v>
      </c>
      <c r="CF10" s="53">
        <f>'График транспортирования'!I6*42.08/1000</f>
        <v>23472.311947199996</v>
      </c>
      <c r="CG10" s="53">
        <f>'График транспортирования'!I7*42.08/1000</f>
        <v>16063.366719999998</v>
      </c>
      <c r="CH10" s="53">
        <f>'График транспортирования'!I8*42.08/1000</f>
        <v>6080.605446399999</v>
      </c>
      <c r="CI10" s="53">
        <f>'График транспортирования'!I9*42.08/1000</f>
        <v>3572.0188703999997</v>
      </c>
      <c r="CJ10" s="53">
        <f>'График транспортирования'!I10*42.08/1000</f>
        <v>3572.0188703999997</v>
      </c>
      <c r="CK10" s="53">
        <f>'График транспортирования'!I11*42.08/1000</f>
        <v>3572.0188703999997</v>
      </c>
      <c r="CL10" s="53">
        <f>'График транспортирования'!I12*42.08/1000</f>
        <v>7469.5105504</v>
      </c>
      <c r="CM10" s="53">
        <f>'График транспортирования'!I13*42.08/1000</f>
        <v>17215.7245744</v>
      </c>
      <c r="CN10" s="53">
        <f>'График транспортирования'!I14*42.08/1000</f>
        <v>24592.117134400003</v>
      </c>
      <c r="CO10" s="93">
        <f t="shared" si="6"/>
        <v>196220.0175184</v>
      </c>
      <c r="CP10" s="53">
        <f>'График транспортирования'!I15*42.08/1000</f>
        <v>30805.300670399996</v>
      </c>
      <c r="CQ10" s="53">
        <f>'График транспортирования'!I4*42.08/1000</f>
        <v>32352.628558399996</v>
      </c>
      <c r="CR10" s="53">
        <f>'График транспортирования'!I5*42.08/1000</f>
        <v>27452.395305599995</v>
      </c>
      <c r="CS10" s="53">
        <f>'График транспортирования'!I6*42.08/1000</f>
        <v>23472.311947199996</v>
      </c>
      <c r="CT10" s="53">
        <f>'График транспортирования'!I7*42.08/1000</f>
        <v>16063.366719999998</v>
      </c>
      <c r="CU10" s="53">
        <f>'График транспортирования'!I8*42.08/1000</f>
        <v>6080.605446399999</v>
      </c>
      <c r="CV10" s="53">
        <f>'График транспортирования'!I9*42.08/1000</f>
        <v>3572.0188703999997</v>
      </c>
      <c r="CW10" s="53">
        <f>'График транспортирования'!I10*42.08/1000</f>
        <v>3572.0188703999997</v>
      </c>
      <c r="CX10" s="53">
        <f>'График транспортирования'!I11*42.08/1000</f>
        <v>3572.0188703999997</v>
      </c>
      <c r="CY10" s="53">
        <f>'График транспортирования'!I12*42.08/1000</f>
        <v>7469.5105504</v>
      </c>
      <c r="CZ10" s="53">
        <f>'График транспортирования'!I13*42.08/1000</f>
        <v>17215.7245744</v>
      </c>
      <c r="DA10" s="53">
        <f>'График транспортирования'!I14*42.08/1000</f>
        <v>24592.117134400003</v>
      </c>
      <c r="DB10" s="93">
        <f t="shared" si="7"/>
        <v>196220.0175184</v>
      </c>
      <c r="DC10" s="53">
        <f>'График транспортирования'!I15*42.08/1000</f>
        <v>30805.300670399996</v>
      </c>
      <c r="DD10" s="53">
        <f>'График транспортирования'!I4*42.08/1000</f>
        <v>32352.628558399996</v>
      </c>
      <c r="DE10" s="53">
        <f>'График транспортирования'!I5*42.08/1000</f>
        <v>27452.395305599995</v>
      </c>
      <c r="DF10" s="53">
        <f>'График транспортирования'!I6*42.08/1000</f>
        <v>23472.311947199996</v>
      </c>
      <c r="DG10" s="53">
        <f>'График транспортирования'!I7*42.08/1000</f>
        <v>16063.366719999998</v>
      </c>
      <c r="DH10" s="53">
        <f>'График транспортирования'!I8*42.08/1000</f>
        <v>6080.605446399999</v>
      </c>
      <c r="DI10" s="53">
        <f>'График транспортирования'!I9*42.08/1000</f>
        <v>3572.0188703999997</v>
      </c>
      <c r="DJ10" s="53">
        <f>'График транспортирования'!I10*42.08/1000</f>
        <v>3572.0188703999997</v>
      </c>
      <c r="DK10" s="53">
        <f>'График транспортирования'!I11*42.08/1000</f>
        <v>3572.0188703999997</v>
      </c>
      <c r="DL10" s="53">
        <f>'График транспортирования'!I12*42.08/1000</f>
        <v>7469.5105504</v>
      </c>
      <c r="DM10" s="53">
        <f>'График транспортирования'!I13*42.08/1000</f>
        <v>17215.7245744</v>
      </c>
      <c r="DN10" s="53">
        <f>'График транспортирования'!I14*42.08/1000</f>
        <v>24592.117134400003</v>
      </c>
      <c r="DO10" s="93">
        <f t="shared" si="8"/>
        <v>196220.0175184</v>
      </c>
      <c r="DP10" s="53">
        <f>'График транспортирования'!I15*42.08/1000</f>
        <v>30805.300670399996</v>
      </c>
      <c r="DQ10" s="53">
        <f>'График транспортирования'!I4*42.08/1000</f>
        <v>32352.628558399996</v>
      </c>
      <c r="DR10" s="53">
        <f>'График транспортирования'!I5*42.08/1000</f>
        <v>27452.395305599995</v>
      </c>
      <c r="DS10" s="53">
        <f>'График транспортирования'!I6*42.08/1000</f>
        <v>23472.311947199996</v>
      </c>
      <c r="DT10" s="53">
        <f>'График транспортирования'!I7*42.08/1000</f>
        <v>16063.366719999998</v>
      </c>
      <c r="DU10" s="53">
        <f>'График транспортирования'!I8*42.08/1000</f>
        <v>6080.605446399999</v>
      </c>
      <c r="DV10" s="53">
        <f>'График транспортирования'!I9*42.08/1000</f>
        <v>3572.0188703999997</v>
      </c>
      <c r="DW10" s="53">
        <f>'График транспортирования'!I10*42.08/1000</f>
        <v>3572.0188703999997</v>
      </c>
      <c r="DX10" s="53">
        <f>'График транспортирования'!I11*42.08/1000</f>
        <v>3572.0188703999997</v>
      </c>
      <c r="DY10" s="53">
        <f>'График транспортирования'!I12*42.08/1000</f>
        <v>7469.5105504</v>
      </c>
      <c r="DZ10" s="53">
        <f>'График транспортирования'!I13*42.08/1000</f>
        <v>17215.7245744</v>
      </c>
      <c r="EA10" s="53">
        <f>'График транспортирования'!I14*42.08/1000</f>
        <v>24592.117134400003</v>
      </c>
      <c r="EB10" s="93">
        <f t="shared" si="10"/>
        <v>196220.0175184</v>
      </c>
      <c r="EC10" s="53">
        <f>'График транспортирования'!I15*42.08/1000</f>
        <v>30805.300670399996</v>
      </c>
      <c r="ED10" s="53">
        <f>'График транспортирования'!I4*42.08/1000</f>
        <v>32352.628558399996</v>
      </c>
      <c r="EE10" s="53">
        <f>'График транспортирования'!I5*42.08/1000</f>
        <v>27452.395305599995</v>
      </c>
      <c r="EF10" s="53">
        <f>'График транспортирования'!I6*42.08/1000</f>
        <v>23472.311947199996</v>
      </c>
      <c r="EG10" s="53">
        <f>'График транспортирования'!I7*42.08/1000</f>
        <v>16063.366719999998</v>
      </c>
      <c r="EH10" s="53">
        <f>'График транспортирования'!I8*42.08/1000</f>
        <v>6080.605446399999</v>
      </c>
      <c r="EI10" s="53">
        <f>'График транспортирования'!I9*42.08/1000</f>
        <v>3572.0188703999997</v>
      </c>
      <c r="EJ10" s="53">
        <f>'График транспортирования'!I10*42.08/1000</f>
        <v>3572.0188703999997</v>
      </c>
      <c r="EK10" s="53">
        <f>'График транспортирования'!I11*42.08/1000</f>
        <v>3572.0188703999997</v>
      </c>
      <c r="EL10" s="53">
        <f>'График транспортирования'!I12*42.08/1000</f>
        <v>7469.5105504</v>
      </c>
      <c r="EM10" s="53">
        <f>'График транспортирования'!I13*42.08/1000</f>
        <v>17215.7245744</v>
      </c>
      <c r="EN10" s="53">
        <f>'График транспортирования'!I14*42.08/1000</f>
        <v>24592.117134400003</v>
      </c>
      <c r="EO10" s="93">
        <f t="shared" si="12"/>
        <v>196220.0175184</v>
      </c>
      <c r="EP10" s="53">
        <f>'График транспортирования'!I15*42.08/1000</f>
        <v>30805.300670399996</v>
      </c>
      <c r="EQ10" s="53">
        <f>'График транспортирования'!I4*42.08/1000</f>
        <v>32352.628558399996</v>
      </c>
      <c r="ER10" s="53">
        <f>'График транспортирования'!I5*42.08/1000</f>
        <v>27452.395305599995</v>
      </c>
      <c r="ES10" s="53">
        <f>'График транспортирования'!I6*42.08/1000</f>
        <v>23472.311947199996</v>
      </c>
      <c r="ET10" s="53">
        <f>'График транспортирования'!I7*42.08/1000</f>
        <v>16063.366719999998</v>
      </c>
      <c r="EU10" s="53">
        <f>'График транспортирования'!I8*42.08/1000</f>
        <v>6080.605446399999</v>
      </c>
      <c r="EV10" s="53">
        <f>'График транспортирования'!I9*42.08/1000</f>
        <v>3572.0188703999997</v>
      </c>
      <c r="EW10" s="53">
        <f>'График транспортирования'!I10*42.08/1000</f>
        <v>3572.0188703999997</v>
      </c>
      <c r="EX10" s="53">
        <f>'График транспортирования'!I11*42.08/1000</f>
        <v>3572.0188703999997</v>
      </c>
      <c r="EY10" s="53">
        <f>'График транспортирования'!I12*42.08/1000</f>
        <v>7469.5105504</v>
      </c>
      <c r="EZ10" s="53">
        <f>'График транспортирования'!I13*42.08/1000</f>
        <v>17215.7245744</v>
      </c>
      <c r="FA10" s="53">
        <f>'График транспортирования'!I14*42.08/1000</f>
        <v>24592.117134400003</v>
      </c>
      <c r="FB10" s="93">
        <f t="shared" si="13"/>
        <v>196220.0175184</v>
      </c>
      <c r="FC10" s="53">
        <f>'График транспортирования'!I15*42.08/1000</f>
        <v>30805.300670399996</v>
      </c>
      <c r="FD10" s="53">
        <f>'График транспортирования'!I4*42.08/1000</f>
        <v>32352.628558399996</v>
      </c>
      <c r="FE10" s="53">
        <f>'График транспортирования'!I5*42.08/1000</f>
        <v>27452.395305599995</v>
      </c>
      <c r="FF10" s="53">
        <f>'График транспортирования'!I6*42.08/1000</f>
        <v>23472.311947199996</v>
      </c>
      <c r="FG10" s="53">
        <f>'График транспортирования'!I7*42.08/1000</f>
        <v>16063.366719999998</v>
      </c>
      <c r="FH10" s="53">
        <f>'График транспортирования'!I8*42.08/1000</f>
        <v>6080.605446399999</v>
      </c>
      <c r="FI10" s="53">
        <f>'График транспортирования'!I9*42.08/1000</f>
        <v>3572.0188703999997</v>
      </c>
      <c r="FJ10" s="53">
        <f>'График транспортирования'!I10*42.08/1000</f>
        <v>3572.0188703999997</v>
      </c>
      <c r="FK10" s="53">
        <f>'График транспортирования'!I11*42.08/1000</f>
        <v>3572.0188703999997</v>
      </c>
      <c r="FL10" s="53">
        <f>'График транспортирования'!I12*42.08/1000</f>
        <v>7469.5105504</v>
      </c>
      <c r="FM10" s="53">
        <f>'График транспортирования'!I13*42.08/1000</f>
        <v>17215.7245744</v>
      </c>
      <c r="FN10" s="53">
        <f>'График транспортирования'!I14*42.08/1000</f>
        <v>24592.117134400003</v>
      </c>
      <c r="FO10" s="93">
        <f t="shared" si="14"/>
        <v>196220.0175184</v>
      </c>
      <c r="FP10" s="53">
        <f>'График транспортирования'!I15*42.08/1000</f>
        <v>30805.300670399996</v>
      </c>
      <c r="FQ10" s="53">
        <f>'График транспортирования'!I4*42.08/1000</f>
        <v>32352.628558399996</v>
      </c>
      <c r="FR10" s="53">
        <f>'График транспортирования'!I5*42.08/1000</f>
        <v>27452.395305599995</v>
      </c>
      <c r="FS10" s="53">
        <f>'График транспортирования'!I6*42.08/1000</f>
        <v>23472.311947199996</v>
      </c>
      <c r="FT10" s="53">
        <f>'График транспортирования'!I7*42.08/1000</f>
        <v>16063.366719999998</v>
      </c>
      <c r="FU10" s="53">
        <f>'График транспортирования'!I8*42.08/1000</f>
        <v>6080.605446399999</v>
      </c>
      <c r="FV10" s="53">
        <f>'График транспортирования'!I9*42.08/1000</f>
        <v>3572.0188703999997</v>
      </c>
      <c r="FW10" s="53">
        <f>'График транспортирования'!I10*42.08/1000</f>
        <v>3572.0188703999997</v>
      </c>
      <c r="FX10" s="53">
        <f>'График транспортирования'!I11*42.08/1000</f>
        <v>3572.0188703999997</v>
      </c>
      <c r="FY10" s="53">
        <f>'График транспортирования'!I12*42.08/1000</f>
        <v>7469.5105504</v>
      </c>
      <c r="FZ10" s="53">
        <f>'График транспортирования'!I13*42.08/1000</f>
        <v>17215.7245744</v>
      </c>
      <c r="GA10" s="53">
        <f>'График транспортирования'!I14*42.08/1000</f>
        <v>24592.117134400003</v>
      </c>
      <c r="GB10" s="93">
        <f t="shared" si="15"/>
        <v>196220.0175184</v>
      </c>
      <c r="GC10" s="53">
        <f>'График транспортирования'!I15*42.08/1000</f>
        <v>30805.300670399996</v>
      </c>
      <c r="GD10" s="53">
        <f>'График транспортирования'!I4*42.08/1000</f>
        <v>32352.628558399996</v>
      </c>
      <c r="GE10" s="53">
        <f>'График транспортирования'!I5*42.08/1000</f>
        <v>27452.395305599995</v>
      </c>
      <c r="GF10" s="53">
        <f>'График транспортирования'!I6*42.08/1000</f>
        <v>23472.311947199996</v>
      </c>
      <c r="GG10" s="53">
        <f>'График транспортирования'!I7*42.08/1000</f>
        <v>16063.366719999998</v>
      </c>
      <c r="GH10" s="53">
        <f>'График транспортирования'!I8*42.08/1000</f>
        <v>6080.605446399999</v>
      </c>
      <c r="GI10" s="53">
        <f>'График транспортирования'!I9*42.08/1000</f>
        <v>3572.0188703999997</v>
      </c>
      <c r="GJ10" s="53">
        <f>'График транспортирования'!I10*42.08/1000</f>
        <v>3572.0188703999997</v>
      </c>
      <c r="GK10" s="53">
        <f>'График транспортирования'!I11*42.08/1000</f>
        <v>3572.0188703999997</v>
      </c>
      <c r="GL10" s="53">
        <f>'График транспортирования'!I12*42.08/1000</f>
        <v>7469.5105504</v>
      </c>
      <c r="GM10" s="53">
        <f>'График транспортирования'!I13*42.08/1000</f>
        <v>17215.7245744</v>
      </c>
      <c r="GN10" s="53">
        <f>'График транспортирования'!I14*42.08/1000</f>
        <v>24592.117134400003</v>
      </c>
      <c r="GO10" s="93">
        <f t="shared" si="16"/>
        <v>196220.0175184</v>
      </c>
      <c r="GP10" s="53">
        <f>'График транспортирования'!I15*42.08/1000</f>
        <v>30805.300670399996</v>
      </c>
      <c r="GQ10" s="53">
        <f>'График транспортирования'!I4*42.08/1000</f>
        <v>32352.628558399996</v>
      </c>
      <c r="GR10" s="53">
        <f>'График транспортирования'!I5*42.08/1000</f>
        <v>27452.395305599995</v>
      </c>
      <c r="GS10" s="53">
        <f>'График транспортирования'!I6*42.08/1000</f>
        <v>23472.311947199996</v>
      </c>
      <c r="GT10" s="53">
        <f>'График транспортирования'!I7*42.08/1000</f>
        <v>16063.366719999998</v>
      </c>
      <c r="GU10" s="53">
        <f>'График транспортирования'!I8*42.08/1000</f>
        <v>6080.605446399999</v>
      </c>
      <c r="GV10" s="53">
        <f>'График транспортирования'!I9*42.08/1000</f>
        <v>3572.0188703999997</v>
      </c>
      <c r="GW10" s="53">
        <f>'График транспортирования'!I10*42.08/1000</f>
        <v>3572.0188703999997</v>
      </c>
      <c r="GX10" s="53">
        <f>'График транспортирования'!I11*42.08/1000</f>
        <v>3572.0188703999997</v>
      </c>
      <c r="GY10" s="53">
        <f>'График транспортирования'!I12*42.08/1000</f>
        <v>7469.5105504</v>
      </c>
      <c r="GZ10" s="53">
        <f>'График транспортирования'!I13*42.08/1000</f>
        <v>17215.7245744</v>
      </c>
      <c r="HA10" s="53">
        <f>'График транспортирования'!I14*42.08/1000</f>
        <v>24592.117134400003</v>
      </c>
      <c r="HB10" s="93">
        <f t="shared" si="18"/>
        <v>196220.0175184</v>
      </c>
      <c r="HC10" s="49">
        <f t="shared" si="19"/>
        <v>2497353.2829696</v>
      </c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95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95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95"/>
      <c r="IP10" s="53"/>
      <c r="IQ10" s="53"/>
      <c r="IR10" s="53"/>
      <c r="IS10" s="53"/>
      <c r="IT10" s="53"/>
      <c r="IU10" s="53"/>
      <c r="IV10" s="53"/>
    </row>
    <row r="11" spans="1:256" s="51" customFormat="1" ht="14.25" outlineLevel="1">
      <c r="A11" s="48"/>
      <c r="B11" s="96" t="s">
        <v>379</v>
      </c>
      <c r="C11" s="49"/>
      <c r="D11" s="49"/>
      <c r="E11" s="49"/>
      <c r="F11" s="49"/>
      <c r="G11" s="49"/>
      <c r="H11" s="49"/>
      <c r="I11" s="49"/>
      <c r="J11" s="49"/>
      <c r="K11" s="49">
        <f>K12+K23+K34+K42</f>
        <v>536.2900013200001</v>
      </c>
      <c r="L11" s="49">
        <f>L12+L23+L34+L42</f>
        <v>486.29000132000004</v>
      </c>
      <c r="M11" s="49">
        <f>M12+M23+M34+M42</f>
        <v>483.2083169</v>
      </c>
      <c r="N11" s="49">
        <f>N12+N23+N34+N42</f>
        <v>468.56437638</v>
      </c>
      <c r="O11" s="93">
        <f aca="true" t="shared" si="20" ref="O11:O22">N11+M11+L11+K11</f>
        <v>1974.35269592</v>
      </c>
      <c r="P11" s="49">
        <f aca="true" t="shared" si="21" ref="P11:AA11">P12+P23+P34+P42</f>
        <v>486.29000132000004</v>
      </c>
      <c r="Q11" s="49">
        <f t="shared" si="21"/>
        <v>486.29000132000004</v>
      </c>
      <c r="R11" s="49">
        <f t="shared" si="21"/>
        <v>483.2083169</v>
      </c>
      <c r="S11" s="49">
        <f t="shared" si="21"/>
        <v>468.56437638</v>
      </c>
      <c r="T11" s="49">
        <f t="shared" si="21"/>
        <v>435.71617398000006</v>
      </c>
      <c r="U11" s="49">
        <f t="shared" si="21"/>
        <v>435.71617398000006</v>
      </c>
      <c r="V11" s="49">
        <f t="shared" si="21"/>
        <v>435.71617398000006</v>
      </c>
      <c r="W11" s="49">
        <f t="shared" si="21"/>
        <v>441.05017398000007</v>
      </c>
      <c r="X11" s="49">
        <f t="shared" si="21"/>
        <v>1263.2208251000002</v>
      </c>
      <c r="Y11" s="49">
        <f t="shared" si="21"/>
        <v>1222.71089787</v>
      </c>
      <c r="Z11" s="49">
        <f t="shared" si="21"/>
        <v>1213.2208251000002</v>
      </c>
      <c r="AA11" s="49">
        <f t="shared" si="21"/>
        <v>1213.2208251000002</v>
      </c>
      <c r="AB11" s="93">
        <f aca="true" t="shared" si="22" ref="AB11:AB24">AA11+Z11+Y11+X11+W11+V11+U11+T11+S11+R11+Q11+P11</f>
        <v>8584.92476501</v>
      </c>
      <c r="AC11" s="49">
        <f aca="true" t="shared" si="23" ref="AC11:FN11">AC12+AC23+AC34+AC42</f>
        <v>1272.7690388223077</v>
      </c>
      <c r="AD11" s="49">
        <f t="shared" si="23"/>
        <v>1263.79465244</v>
      </c>
      <c r="AE11" s="49">
        <f t="shared" si="23"/>
        <v>1260.71296802</v>
      </c>
      <c r="AF11" s="49">
        <f t="shared" si="23"/>
        <v>1286.431147745</v>
      </c>
      <c r="AG11" s="49">
        <f t="shared" si="23"/>
        <v>1213.2208251000002</v>
      </c>
      <c r="AH11" s="49">
        <f t="shared" si="23"/>
        <v>1213.2208251000002</v>
      </c>
      <c r="AI11" s="49">
        <f t="shared" si="23"/>
        <v>1243.0019898571431</v>
      </c>
      <c r="AJ11" s="49">
        <f t="shared" si="23"/>
        <v>1341.69576142</v>
      </c>
      <c r="AK11" s="49">
        <f t="shared" si="23"/>
        <v>5316.762480312</v>
      </c>
      <c r="AL11" s="49">
        <f t="shared" si="23"/>
        <v>6723.074101492001</v>
      </c>
      <c r="AM11" s="49">
        <f t="shared" si="23"/>
        <v>8402.05430692</v>
      </c>
      <c r="AN11" s="49">
        <f t="shared" si="23"/>
        <v>11584.7438215</v>
      </c>
      <c r="AO11" s="93">
        <f t="shared" si="0"/>
        <v>42121.48191872845</v>
      </c>
      <c r="AP11" s="49">
        <f t="shared" si="23"/>
        <v>11309.613022378344</v>
      </c>
      <c r="AQ11" s="49">
        <f t="shared" si="23"/>
        <v>9937.803986817333</v>
      </c>
      <c r="AR11" s="49">
        <f t="shared" si="23"/>
        <v>8072.069407068</v>
      </c>
      <c r="AS11" s="49">
        <f t="shared" si="23"/>
        <v>14295.914891548266</v>
      </c>
      <c r="AT11" s="49">
        <f t="shared" si="23"/>
        <v>2630.3890092149995</v>
      </c>
      <c r="AU11" s="49">
        <f t="shared" si="23"/>
        <v>3589.3261386093336</v>
      </c>
      <c r="AV11" s="49">
        <f t="shared" si="23"/>
        <v>6305.4888188820005</v>
      </c>
      <c r="AW11" s="49">
        <f t="shared" si="23"/>
        <v>3766.8417780640007</v>
      </c>
      <c r="AX11" s="49">
        <f t="shared" si="23"/>
        <v>7990.8498868120005</v>
      </c>
      <c r="AY11" s="49">
        <f t="shared" si="23"/>
        <v>15513.78145825</v>
      </c>
      <c r="AZ11" s="49">
        <f t="shared" si="23"/>
        <v>17891.078189924</v>
      </c>
      <c r="BA11" s="49">
        <f t="shared" si="23"/>
        <v>21317.816571431336</v>
      </c>
      <c r="BB11" s="93">
        <f t="shared" si="2"/>
        <v>122620.97315899961</v>
      </c>
      <c r="BC11" s="49">
        <f t="shared" si="23"/>
        <v>15824.943392869998</v>
      </c>
      <c r="BD11" s="49">
        <f t="shared" si="23"/>
        <v>20021.305404703333</v>
      </c>
      <c r="BE11" s="49">
        <f t="shared" si="23"/>
        <v>17985.162445178667</v>
      </c>
      <c r="BF11" s="49">
        <f t="shared" si="23"/>
        <v>30201.889795538133</v>
      </c>
      <c r="BG11" s="49">
        <f t="shared" si="23"/>
        <v>3715.9376887416665</v>
      </c>
      <c r="BH11" s="49">
        <f t="shared" si="23"/>
        <v>6852.881150843999</v>
      </c>
      <c r="BI11" s="49">
        <f t="shared" si="23"/>
        <v>11440.78215783638</v>
      </c>
      <c r="BJ11" s="49">
        <f t="shared" si="23"/>
        <v>6855.52710644</v>
      </c>
      <c r="BK11" s="49">
        <f t="shared" si="23"/>
        <v>5992.511664268001</v>
      </c>
      <c r="BL11" s="49">
        <f t="shared" si="23"/>
        <v>18265.5488428305</v>
      </c>
      <c r="BM11" s="49">
        <f t="shared" si="23"/>
        <v>17879.43543658</v>
      </c>
      <c r="BN11" s="49">
        <f t="shared" si="23"/>
        <v>21298.692401348337</v>
      </c>
      <c r="BO11" s="93">
        <f t="shared" si="4"/>
        <v>176334.617487179</v>
      </c>
      <c r="BP11" s="49">
        <f t="shared" si="23"/>
        <v>15824.943364536664</v>
      </c>
      <c r="BQ11" s="49">
        <f t="shared" si="23"/>
        <v>20021.305404703333</v>
      </c>
      <c r="BR11" s="49">
        <f t="shared" si="23"/>
        <v>18572.988704264666</v>
      </c>
      <c r="BS11" s="49">
        <f t="shared" si="23"/>
        <v>31753.173605426724</v>
      </c>
      <c r="BT11" s="49">
        <f t="shared" si="23"/>
        <v>3715.9376887416665</v>
      </c>
      <c r="BU11" s="49">
        <f t="shared" si="23"/>
        <v>6291.160158708</v>
      </c>
      <c r="BV11" s="49">
        <f t="shared" si="23"/>
        <v>10822.85080000067</v>
      </c>
      <c r="BW11" s="49">
        <f t="shared" si="23"/>
        <v>7306.883269826</v>
      </c>
      <c r="BX11" s="49">
        <f t="shared" si="23"/>
        <v>5492.9271086319995</v>
      </c>
      <c r="BY11" s="49">
        <f t="shared" si="23"/>
        <v>17585.503885186503</v>
      </c>
      <c r="BZ11" s="49">
        <f t="shared" si="23"/>
        <v>17879.43543658</v>
      </c>
      <c r="CA11" s="49">
        <f t="shared" si="23"/>
        <v>21298.692401348337</v>
      </c>
      <c r="CB11" s="93">
        <f t="shared" si="5"/>
        <v>176565.80182795454</v>
      </c>
      <c r="CC11" s="49">
        <f t="shared" si="23"/>
        <v>15824.943364536664</v>
      </c>
      <c r="CD11" s="49">
        <f t="shared" si="23"/>
        <v>20021.305404703333</v>
      </c>
      <c r="CE11" s="49">
        <f t="shared" si="23"/>
        <v>18572.988704264666</v>
      </c>
      <c r="CF11" s="49">
        <f t="shared" si="23"/>
        <v>31244.184558843648</v>
      </c>
      <c r="CG11" s="49">
        <f t="shared" si="23"/>
        <v>3715.9376887416665</v>
      </c>
      <c r="CH11" s="49">
        <f t="shared" si="23"/>
        <v>6291.160158708</v>
      </c>
      <c r="CI11" s="49">
        <f t="shared" si="23"/>
        <v>10126.67990294638</v>
      </c>
      <c r="CJ11" s="49">
        <f t="shared" si="23"/>
        <v>7306.883269826</v>
      </c>
      <c r="CK11" s="49">
        <f t="shared" si="23"/>
        <v>5992.511664268001</v>
      </c>
      <c r="CL11" s="49">
        <f t="shared" si="23"/>
        <v>16354.507866072501</v>
      </c>
      <c r="CM11" s="49">
        <f t="shared" si="23"/>
        <v>17879.43543658</v>
      </c>
      <c r="CN11" s="49">
        <f t="shared" si="23"/>
        <v>21298.692401348337</v>
      </c>
      <c r="CO11" s="93">
        <f t="shared" si="6"/>
        <v>174629.2304208392</v>
      </c>
      <c r="CP11" s="49">
        <f t="shared" si="23"/>
        <v>15824.943364536664</v>
      </c>
      <c r="CQ11" s="49">
        <f t="shared" si="23"/>
        <v>20021.305404703333</v>
      </c>
      <c r="CR11" s="49">
        <f t="shared" si="23"/>
        <v>18572.988704264666</v>
      </c>
      <c r="CS11" s="49">
        <f t="shared" si="23"/>
        <v>30310.691321869657</v>
      </c>
      <c r="CT11" s="49">
        <f t="shared" si="23"/>
        <v>3715.9376887416665</v>
      </c>
      <c r="CU11" s="49">
        <f t="shared" si="23"/>
        <v>6852.881150843999</v>
      </c>
      <c r="CV11" s="49">
        <f t="shared" si="23"/>
        <v>8854.038477646096</v>
      </c>
      <c r="CW11" s="49">
        <f t="shared" si="23"/>
        <v>7389.547497976</v>
      </c>
      <c r="CX11" s="49">
        <f t="shared" si="23"/>
        <v>5992.511664268001</v>
      </c>
      <c r="CY11" s="49">
        <f t="shared" si="23"/>
        <v>16268.964660233001</v>
      </c>
      <c r="CZ11" s="49">
        <f t="shared" si="23"/>
        <v>17214.565263947497</v>
      </c>
      <c r="DA11" s="49">
        <f t="shared" si="23"/>
        <v>21404.743614323335</v>
      </c>
      <c r="DB11" s="93">
        <f t="shared" si="7"/>
        <v>172423.1188133539</v>
      </c>
      <c r="DC11" s="49">
        <f t="shared" si="23"/>
        <v>15824.943364536664</v>
      </c>
      <c r="DD11" s="49">
        <f t="shared" si="23"/>
        <v>20021.305404703333</v>
      </c>
      <c r="DE11" s="49">
        <f t="shared" si="23"/>
        <v>18572.988704264666</v>
      </c>
      <c r="DF11" s="49">
        <f t="shared" si="23"/>
        <v>29524.34394147837</v>
      </c>
      <c r="DG11" s="49">
        <f t="shared" si="23"/>
        <v>3715.9376887416665</v>
      </c>
      <c r="DH11" s="49">
        <f t="shared" si="23"/>
        <v>6852.881150843999</v>
      </c>
      <c r="DI11" s="49">
        <f t="shared" si="23"/>
        <v>8393.544081714666</v>
      </c>
      <c r="DJ11" s="49">
        <f t="shared" si="23"/>
        <v>7389.547497976</v>
      </c>
      <c r="DK11" s="49">
        <f t="shared" si="23"/>
        <v>5992.511664268001</v>
      </c>
      <c r="DL11" s="49">
        <f t="shared" si="23"/>
        <v>15625.651405568085</v>
      </c>
      <c r="DM11" s="49">
        <f t="shared" si="23"/>
        <v>17879.43543658</v>
      </c>
      <c r="DN11" s="49">
        <f t="shared" si="23"/>
        <v>21298.480490228336</v>
      </c>
      <c r="DO11" s="93">
        <f t="shared" si="8"/>
        <v>171091.57083090377</v>
      </c>
      <c r="DP11" s="49">
        <f t="shared" si="23"/>
        <v>15824.943364536664</v>
      </c>
      <c r="DQ11" s="49">
        <f t="shared" si="23"/>
        <v>20021.305404703333</v>
      </c>
      <c r="DR11" s="49">
        <f t="shared" si="23"/>
        <v>17985.162445178667</v>
      </c>
      <c r="DS11" s="49">
        <f t="shared" si="23"/>
        <v>28878.65216454157</v>
      </c>
      <c r="DT11" s="49">
        <f t="shared" si="23"/>
        <v>3715.9376887416665</v>
      </c>
      <c r="DU11" s="49">
        <f t="shared" si="23"/>
        <v>6852.881150843999</v>
      </c>
      <c r="DV11" s="49">
        <f t="shared" si="23"/>
        <v>8332.596583653525</v>
      </c>
      <c r="DW11" s="49">
        <f t="shared" si="23"/>
        <v>6855.52710644</v>
      </c>
      <c r="DX11" s="49">
        <f t="shared" si="23"/>
        <v>5992.511664268001</v>
      </c>
      <c r="DY11" s="49">
        <f t="shared" si="23"/>
        <v>15172.8661258125</v>
      </c>
      <c r="DZ11" s="49">
        <f t="shared" si="23"/>
        <v>17879.43543658</v>
      </c>
      <c r="EA11" s="49">
        <f t="shared" si="23"/>
        <v>21298.692401348337</v>
      </c>
      <c r="EB11" s="93">
        <f t="shared" si="10"/>
        <v>168810.51153664824</v>
      </c>
      <c r="EC11" s="49">
        <f t="shared" si="23"/>
        <v>15824.943364536664</v>
      </c>
      <c r="ED11" s="49">
        <f t="shared" si="23"/>
        <v>20021.305404703333</v>
      </c>
      <c r="EE11" s="49">
        <f t="shared" si="23"/>
        <v>17985.162445178667</v>
      </c>
      <c r="EF11" s="49">
        <f t="shared" si="23"/>
        <v>28003.286674918592</v>
      </c>
      <c r="EG11" s="49">
        <f t="shared" si="23"/>
        <v>3715.9376887416665</v>
      </c>
      <c r="EH11" s="49">
        <f t="shared" si="23"/>
        <v>6852.881150843999</v>
      </c>
      <c r="EI11" s="49">
        <f t="shared" si="23"/>
        <v>7638.35767882781</v>
      </c>
      <c r="EJ11" s="49">
        <f t="shared" si="23"/>
        <v>7306.883269826</v>
      </c>
      <c r="EK11" s="49">
        <f t="shared" si="23"/>
        <v>5492.9271086319995</v>
      </c>
      <c r="EL11" s="49">
        <f t="shared" si="23"/>
        <v>14482.8263313685</v>
      </c>
      <c r="EM11" s="49">
        <f t="shared" si="23"/>
        <v>17879.43543658</v>
      </c>
      <c r="EN11" s="49">
        <f t="shared" si="23"/>
        <v>21298.692401348337</v>
      </c>
      <c r="EO11" s="93">
        <f t="shared" si="12"/>
        <v>166502.63895550556</v>
      </c>
      <c r="EP11" s="49">
        <f t="shared" si="23"/>
        <v>15824.943364536664</v>
      </c>
      <c r="EQ11" s="49">
        <f t="shared" si="23"/>
        <v>20021.305404703333</v>
      </c>
      <c r="ER11" s="49">
        <f t="shared" si="23"/>
        <v>18572.988704264666</v>
      </c>
      <c r="ES11" s="49">
        <f t="shared" si="23"/>
        <v>27348.867496609622</v>
      </c>
      <c r="ET11" s="49">
        <f t="shared" si="23"/>
        <v>3715.9376887416665</v>
      </c>
      <c r="EU11" s="49">
        <f t="shared" si="23"/>
        <v>6291.160158708</v>
      </c>
      <c r="EV11" s="49">
        <f t="shared" si="23"/>
        <v>7054.088480952096</v>
      </c>
      <c r="EW11" s="49">
        <f t="shared" si="23"/>
        <v>7306.883269826</v>
      </c>
      <c r="EX11" s="49">
        <f t="shared" si="23"/>
        <v>5545.054207432</v>
      </c>
      <c r="EY11" s="49">
        <f t="shared" si="23"/>
        <v>13953.9159129325</v>
      </c>
      <c r="EZ11" s="49">
        <f t="shared" si="23"/>
        <v>18058.15691818</v>
      </c>
      <c r="FA11" s="49">
        <f t="shared" si="23"/>
        <v>21522.09425334834</v>
      </c>
      <c r="FB11" s="93">
        <f t="shared" si="13"/>
        <v>165215.39586023486</v>
      </c>
      <c r="FC11" s="49">
        <f t="shared" si="23"/>
        <v>15824.943364536664</v>
      </c>
      <c r="FD11" s="49">
        <f t="shared" si="23"/>
        <v>20021.305404703333</v>
      </c>
      <c r="FE11" s="49">
        <f t="shared" si="23"/>
        <v>18572.988704264666</v>
      </c>
      <c r="FF11" s="49">
        <f t="shared" si="23"/>
        <v>25930.2238064381</v>
      </c>
      <c r="FG11" s="49">
        <f t="shared" si="23"/>
        <v>3715.9376887416665</v>
      </c>
      <c r="FH11" s="49">
        <f t="shared" si="23"/>
        <v>6291.160158708</v>
      </c>
      <c r="FI11" s="49">
        <f t="shared" si="23"/>
        <v>6422.52511105781</v>
      </c>
      <c r="FJ11" s="49">
        <f t="shared" si="23"/>
        <v>7306.883269826</v>
      </c>
      <c r="FK11" s="49">
        <f t="shared" si="23"/>
        <v>5992.511664268001</v>
      </c>
      <c r="FL11" s="49">
        <f t="shared" si="23"/>
        <v>12692.991199220502</v>
      </c>
      <c r="FM11" s="49">
        <f t="shared" si="23"/>
        <v>17879.43543658</v>
      </c>
      <c r="FN11" s="49">
        <f t="shared" si="23"/>
        <v>21298.692401348337</v>
      </c>
      <c r="FO11" s="93">
        <f t="shared" si="14"/>
        <v>161949.59820969307</v>
      </c>
      <c r="FP11" s="49">
        <f aca="true" t="shared" si="24" ref="FP11:GA11">FP12+FP23+FP34+FP42</f>
        <v>15830.625364536665</v>
      </c>
      <c r="FQ11" s="49">
        <f t="shared" si="24"/>
        <v>20021.305404703333</v>
      </c>
      <c r="FR11" s="49">
        <f t="shared" si="24"/>
        <v>18572.988704264666</v>
      </c>
      <c r="FS11" s="49">
        <f t="shared" si="24"/>
        <v>25680.741877877736</v>
      </c>
      <c r="FT11" s="49">
        <f t="shared" si="24"/>
        <v>3715.9376887416665</v>
      </c>
      <c r="FU11" s="49">
        <f t="shared" si="24"/>
        <v>6852.881150843999</v>
      </c>
      <c r="FV11" s="49">
        <f t="shared" si="24"/>
        <v>5495.457727097524</v>
      </c>
      <c r="FW11" s="49">
        <f t="shared" si="24"/>
        <v>7389.547497976</v>
      </c>
      <c r="FX11" s="49">
        <f t="shared" si="24"/>
        <v>5992.511664268001</v>
      </c>
      <c r="FY11" s="49">
        <f t="shared" si="24"/>
        <v>12921.801029410999</v>
      </c>
      <c r="FZ11" s="49">
        <f t="shared" si="24"/>
        <v>17214.565263947497</v>
      </c>
      <c r="GA11" s="49">
        <f t="shared" si="24"/>
        <v>21404.743614323335</v>
      </c>
      <c r="GB11" s="93">
        <f t="shared" si="15"/>
        <v>161093.10698799143</v>
      </c>
      <c r="GC11" s="49">
        <f aca="true" t="shared" si="25" ref="GC11:GN11">GC12+GC23+GC34+GC42</f>
        <v>15824.943364536664</v>
      </c>
      <c r="GD11" s="49">
        <f t="shared" si="25"/>
        <v>20021.305404703333</v>
      </c>
      <c r="GE11" s="49">
        <f t="shared" si="25"/>
        <v>18572.988704264666</v>
      </c>
      <c r="GF11" s="49">
        <f t="shared" si="25"/>
        <v>26089.991764092105</v>
      </c>
      <c r="GG11" s="49">
        <f t="shared" si="25"/>
        <v>3715.9376887416665</v>
      </c>
      <c r="GH11" s="49">
        <f t="shared" si="25"/>
        <v>6852.881150843999</v>
      </c>
      <c r="GI11" s="49">
        <f t="shared" si="25"/>
        <v>6350.78388962202</v>
      </c>
      <c r="GJ11" s="49">
        <f t="shared" si="25"/>
        <v>6855.52710644</v>
      </c>
      <c r="GK11" s="49">
        <f t="shared" si="25"/>
        <v>5992.511664268001</v>
      </c>
      <c r="GL11" s="49">
        <f t="shared" si="25"/>
        <v>12773.488976621</v>
      </c>
      <c r="GM11" s="49">
        <f t="shared" si="25"/>
        <v>17879.43543658</v>
      </c>
      <c r="GN11" s="49">
        <f t="shared" si="25"/>
        <v>21298.480490228336</v>
      </c>
      <c r="GO11" s="93">
        <f t="shared" si="16"/>
        <v>162228.27564094178</v>
      </c>
      <c r="GP11" s="49">
        <f aca="true" t="shared" si="26" ref="GP11:HA11">GP12+GP23+GP34+GP42</f>
        <v>15824.943364536664</v>
      </c>
      <c r="GQ11" s="49">
        <f t="shared" si="26"/>
        <v>20021.305404703333</v>
      </c>
      <c r="GR11" s="49">
        <f t="shared" si="26"/>
        <v>17985.162445178667</v>
      </c>
      <c r="GS11" s="49">
        <f t="shared" si="26"/>
        <v>26327.883466865875</v>
      </c>
      <c r="GT11" s="49">
        <f t="shared" si="26"/>
        <v>3715.9376887416665</v>
      </c>
      <c r="GU11" s="49">
        <f t="shared" si="26"/>
        <v>6852.881150843999</v>
      </c>
      <c r="GV11" s="49">
        <f t="shared" si="26"/>
        <v>6203.354585938693</v>
      </c>
      <c r="GW11" s="49">
        <f t="shared" si="26"/>
        <v>6855.52710644</v>
      </c>
      <c r="GX11" s="49">
        <f t="shared" si="26"/>
        <v>5992.511664268001</v>
      </c>
      <c r="GY11" s="49">
        <f t="shared" si="26"/>
        <v>12641.712354457</v>
      </c>
      <c r="GZ11" s="49">
        <f t="shared" si="26"/>
        <v>17879.43543658</v>
      </c>
      <c r="HA11" s="49">
        <f t="shared" si="26"/>
        <v>21298.480490228336</v>
      </c>
      <c r="HB11" s="93">
        <f t="shared" si="18"/>
        <v>161599.1351587822</v>
      </c>
      <c r="HC11" s="49">
        <f t="shared" si="19"/>
        <v>2193744.734268686</v>
      </c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93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93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93"/>
      <c r="IP11" s="49"/>
      <c r="IQ11" s="49"/>
      <c r="IR11" s="49"/>
      <c r="IS11" s="49"/>
      <c r="IT11" s="49"/>
      <c r="IU11" s="49"/>
      <c r="IV11" s="49"/>
    </row>
    <row r="12" spans="1:256" s="51" customFormat="1" ht="14.25" outlineLevel="2">
      <c r="A12" s="48"/>
      <c r="B12" s="97" t="s">
        <v>380</v>
      </c>
      <c r="C12" s="54"/>
      <c r="D12" s="54"/>
      <c r="E12" s="54"/>
      <c r="F12" s="54"/>
      <c r="G12" s="54"/>
      <c r="H12" s="54"/>
      <c r="I12" s="54"/>
      <c r="J12" s="54"/>
      <c r="K12" s="54">
        <f>K13+K14+K15+K16+K17+K18+K19+K20+K21+K22</f>
        <v>433.78466000000003</v>
      </c>
      <c r="L12" s="54">
        <f>L13+L14+L15+L16+L17+L18+L19+L20+L21+L22</f>
        <v>383.78466000000003</v>
      </c>
      <c r="M12" s="54">
        <f>M13+M14+M15+M16+M17+M18+M19+M20+M21+M22</f>
        <v>383.78466000000003</v>
      </c>
      <c r="N12" s="54">
        <f>N13+N14+N15+N16+N17+N18+N19+N20+N21+N22</f>
        <v>383.78466000000003</v>
      </c>
      <c r="O12" s="93">
        <f t="shared" si="20"/>
        <v>1585.1386400000001</v>
      </c>
      <c r="P12" s="54">
        <f>P13+P14+P15+P16+P17+P18+P19+P20+P21+P22</f>
        <v>383.78466000000003</v>
      </c>
      <c r="Q12" s="54">
        <f aca="true" t="shared" si="27" ref="Q12:AA12">Q13+Q14+Q15+Q16+Q17+Q18+Q19+Q20+Q21+Q22</f>
        <v>383.78466000000003</v>
      </c>
      <c r="R12" s="54">
        <f t="shared" si="27"/>
        <v>383.78466000000003</v>
      </c>
      <c r="S12" s="54">
        <f t="shared" si="27"/>
        <v>383.78466000000003</v>
      </c>
      <c r="T12" s="54">
        <f t="shared" si="27"/>
        <v>383.78466000000003</v>
      </c>
      <c r="U12" s="54">
        <f t="shared" si="27"/>
        <v>383.78466000000003</v>
      </c>
      <c r="V12" s="54">
        <f t="shared" si="27"/>
        <v>383.78466000000003</v>
      </c>
      <c r="W12" s="54">
        <f t="shared" si="27"/>
        <v>383.78466000000003</v>
      </c>
      <c r="X12" s="53">
        <f t="shared" si="27"/>
        <v>743.40578</v>
      </c>
      <c r="Y12" s="54">
        <f t="shared" si="27"/>
        <v>693.40578</v>
      </c>
      <c r="Z12" s="54">
        <f t="shared" si="27"/>
        <v>693.40578</v>
      </c>
      <c r="AA12" s="54">
        <f t="shared" si="27"/>
        <v>693.40578</v>
      </c>
      <c r="AB12" s="93">
        <f t="shared" si="22"/>
        <v>5893.900400000002</v>
      </c>
      <c r="AC12" s="54">
        <f aca="true" t="shared" si="28" ref="AC12:AZ12">AC13+AC14+AC15+AC16+AC17+AC18+AC19+AC20+AC21+AC22</f>
        <v>693.40578</v>
      </c>
      <c r="AD12" s="54">
        <f t="shared" si="28"/>
        <v>693.40578</v>
      </c>
      <c r="AE12" s="54">
        <f t="shared" si="28"/>
        <v>693.40578</v>
      </c>
      <c r="AF12" s="54">
        <f t="shared" si="28"/>
        <v>693.40578</v>
      </c>
      <c r="AG12" s="54">
        <f t="shared" si="28"/>
        <v>693.40578</v>
      </c>
      <c r="AH12" s="54">
        <f t="shared" si="28"/>
        <v>693.40578</v>
      </c>
      <c r="AI12" s="54">
        <f t="shared" si="28"/>
        <v>693.40578</v>
      </c>
      <c r="AJ12" s="54">
        <f t="shared" si="28"/>
        <v>693.40578</v>
      </c>
      <c r="AK12" s="54">
        <f t="shared" si="28"/>
        <v>897.2263400000002</v>
      </c>
      <c r="AL12" s="54">
        <f t="shared" si="28"/>
        <v>847.2263400000002</v>
      </c>
      <c r="AM12" s="54">
        <f t="shared" si="28"/>
        <v>847.2263400000002</v>
      </c>
      <c r="AN12" s="54">
        <f t="shared" si="28"/>
        <v>847.2263400000002</v>
      </c>
      <c r="AO12" s="93">
        <f t="shared" si="0"/>
        <v>8986.151600000001</v>
      </c>
      <c r="AP12" s="54">
        <f t="shared" si="28"/>
        <v>847.2263400000002</v>
      </c>
      <c r="AQ12" s="54">
        <f t="shared" si="28"/>
        <v>847.2263400000002</v>
      </c>
      <c r="AR12" s="54">
        <f t="shared" si="28"/>
        <v>847.2263400000002</v>
      </c>
      <c r="AS12" s="54">
        <f t="shared" si="28"/>
        <v>847.2263400000002</v>
      </c>
      <c r="AT12" s="54">
        <f t="shared" si="28"/>
        <v>847.2263400000002</v>
      </c>
      <c r="AU12" s="54">
        <f t="shared" si="28"/>
        <v>847.2263400000002</v>
      </c>
      <c r="AV12" s="54">
        <f t="shared" si="28"/>
        <v>847.2263400000002</v>
      </c>
      <c r="AW12" s="54">
        <f t="shared" si="28"/>
        <v>847.2263400000002</v>
      </c>
      <c r="AX12" s="54">
        <f t="shared" si="28"/>
        <v>897.2263400000002</v>
      </c>
      <c r="AY12" s="54">
        <f t="shared" si="28"/>
        <v>847.2263400000002</v>
      </c>
      <c r="AZ12" s="54">
        <f t="shared" si="28"/>
        <v>847.2263400000002</v>
      </c>
      <c r="BA12" s="54">
        <f>BA13+BA14+BA15+BA16+BA17+BA18+BA19+BA20+BA21+BA22</f>
        <v>847.2263400000002</v>
      </c>
      <c r="BB12" s="93">
        <f t="shared" si="2"/>
        <v>10216.716080000002</v>
      </c>
      <c r="BC12" s="54">
        <f aca="true" t="shared" si="29" ref="BC12:FN12">BC13+BC14+BC15+BC16+BC17+BC18+BC19+BC20+BC21+BC22</f>
        <v>847.2263400000002</v>
      </c>
      <c r="BD12" s="54">
        <f t="shared" si="29"/>
        <v>847.2263400000002</v>
      </c>
      <c r="BE12" s="54">
        <f t="shared" si="29"/>
        <v>847.2263400000002</v>
      </c>
      <c r="BF12" s="54">
        <f t="shared" si="29"/>
        <v>847.2263400000002</v>
      </c>
      <c r="BG12" s="54">
        <f t="shared" si="29"/>
        <v>847.2263400000002</v>
      </c>
      <c r="BH12" s="54">
        <f t="shared" si="29"/>
        <v>847.2263400000002</v>
      </c>
      <c r="BI12" s="54">
        <f t="shared" si="29"/>
        <v>847.2263400000002</v>
      </c>
      <c r="BJ12" s="54">
        <f t="shared" si="29"/>
        <v>847.2263400000002</v>
      </c>
      <c r="BK12" s="54">
        <f t="shared" si="29"/>
        <v>897.2263400000002</v>
      </c>
      <c r="BL12" s="54">
        <f t="shared" si="29"/>
        <v>847.2263400000002</v>
      </c>
      <c r="BM12" s="54">
        <f t="shared" si="29"/>
        <v>847.2263400000002</v>
      </c>
      <c r="BN12" s="54">
        <f t="shared" si="29"/>
        <v>847.2263400000002</v>
      </c>
      <c r="BO12" s="93">
        <f t="shared" si="4"/>
        <v>10216.716080000002</v>
      </c>
      <c r="BP12" s="54">
        <f t="shared" si="29"/>
        <v>847.2263400000002</v>
      </c>
      <c r="BQ12" s="54">
        <f t="shared" si="29"/>
        <v>847.2263400000002</v>
      </c>
      <c r="BR12" s="54">
        <f t="shared" si="29"/>
        <v>847.2263400000002</v>
      </c>
      <c r="BS12" s="54">
        <f t="shared" si="29"/>
        <v>847.2263400000002</v>
      </c>
      <c r="BT12" s="54">
        <f t="shared" si="29"/>
        <v>847.2263400000002</v>
      </c>
      <c r="BU12" s="54">
        <f t="shared" si="29"/>
        <v>847.2263400000002</v>
      </c>
      <c r="BV12" s="54">
        <f t="shared" si="29"/>
        <v>847.2263400000002</v>
      </c>
      <c r="BW12" s="54">
        <f t="shared" si="29"/>
        <v>847.2263400000002</v>
      </c>
      <c r="BX12" s="54">
        <f t="shared" si="29"/>
        <v>897.2263400000002</v>
      </c>
      <c r="BY12" s="54">
        <f t="shared" si="29"/>
        <v>847.2263400000002</v>
      </c>
      <c r="BZ12" s="54">
        <f t="shared" si="29"/>
        <v>847.2263400000002</v>
      </c>
      <c r="CA12" s="54">
        <f t="shared" si="29"/>
        <v>847.2263400000002</v>
      </c>
      <c r="CB12" s="93">
        <f t="shared" si="5"/>
        <v>10216.716080000002</v>
      </c>
      <c r="CC12" s="54">
        <f t="shared" si="29"/>
        <v>847.2263400000002</v>
      </c>
      <c r="CD12" s="54">
        <f t="shared" si="29"/>
        <v>847.2263400000002</v>
      </c>
      <c r="CE12" s="54">
        <f t="shared" si="29"/>
        <v>847.2263400000002</v>
      </c>
      <c r="CF12" s="54">
        <f t="shared" si="29"/>
        <v>847.2263400000002</v>
      </c>
      <c r="CG12" s="54">
        <f t="shared" si="29"/>
        <v>847.2263400000002</v>
      </c>
      <c r="CH12" s="54">
        <f t="shared" si="29"/>
        <v>847.2263400000002</v>
      </c>
      <c r="CI12" s="54">
        <f t="shared" si="29"/>
        <v>847.2263400000002</v>
      </c>
      <c r="CJ12" s="54">
        <f t="shared" si="29"/>
        <v>847.2263400000002</v>
      </c>
      <c r="CK12" s="54">
        <f t="shared" si="29"/>
        <v>897.2263400000002</v>
      </c>
      <c r="CL12" s="54">
        <f t="shared" si="29"/>
        <v>847.2263400000002</v>
      </c>
      <c r="CM12" s="54">
        <f t="shared" si="29"/>
        <v>847.2263400000002</v>
      </c>
      <c r="CN12" s="54">
        <f t="shared" si="29"/>
        <v>847.2263400000002</v>
      </c>
      <c r="CO12" s="93">
        <f t="shared" si="6"/>
        <v>10216.716080000002</v>
      </c>
      <c r="CP12" s="54">
        <f t="shared" si="29"/>
        <v>847.2263400000002</v>
      </c>
      <c r="CQ12" s="54">
        <f t="shared" si="29"/>
        <v>847.2263400000002</v>
      </c>
      <c r="CR12" s="54">
        <f t="shared" si="29"/>
        <v>847.2263400000002</v>
      </c>
      <c r="CS12" s="54">
        <f t="shared" si="29"/>
        <v>847.2263400000002</v>
      </c>
      <c r="CT12" s="54">
        <f t="shared" si="29"/>
        <v>847.2263400000002</v>
      </c>
      <c r="CU12" s="54">
        <f t="shared" si="29"/>
        <v>847.2263400000002</v>
      </c>
      <c r="CV12" s="54">
        <f t="shared" si="29"/>
        <v>847.2263400000002</v>
      </c>
      <c r="CW12" s="54">
        <f t="shared" si="29"/>
        <v>847.2263400000002</v>
      </c>
      <c r="CX12" s="54">
        <f t="shared" si="29"/>
        <v>897.2263400000002</v>
      </c>
      <c r="CY12" s="54">
        <f t="shared" si="29"/>
        <v>847.2263400000002</v>
      </c>
      <c r="CZ12" s="54">
        <f t="shared" si="29"/>
        <v>847.2263400000002</v>
      </c>
      <c r="DA12" s="54">
        <f t="shared" si="29"/>
        <v>847.2263400000002</v>
      </c>
      <c r="DB12" s="93">
        <f t="shared" si="7"/>
        <v>10216.716080000002</v>
      </c>
      <c r="DC12" s="54">
        <f t="shared" si="29"/>
        <v>847.2263400000002</v>
      </c>
      <c r="DD12" s="54">
        <f t="shared" si="29"/>
        <v>847.2263400000002</v>
      </c>
      <c r="DE12" s="54">
        <f t="shared" si="29"/>
        <v>847.2263400000002</v>
      </c>
      <c r="DF12" s="54">
        <f t="shared" si="29"/>
        <v>847.2263400000002</v>
      </c>
      <c r="DG12" s="54">
        <f t="shared" si="29"/>
        <v>847.2263400000002</v>
      </c>
      <c r="DH12" s="54">
        <f t="shared" si="29"/>
        <v>847.2263400000002</v>
      </c>
      <c r="DI12" s="54">
        <f t="shared" si="29"/>
        <v>847.2263400000002</v>
      </c>
      <c r="DJ12" s="54">
        <f t="shared" si="29"/>
        <v>847.2263400000002</v>
      </c>
      <c r="DK12" s="54">
        <f t="shared" si="29"/>
        <v>897.2263400000002</v>
      </c>
      <c r="DL12" s="54">
        <f t="shared" si="29"/>
        <v>847.2263400000002</v>
      </c>
      <c r="DM12" s="54">
        <f t="shared" si="29"/>
        <v>847.2263400000002</v>
      </c>
      <c r="DN12" s="54">
        <f t="shared" si="29"/>
        <v>847.2263400000002</v>
      </c>
      <c r="DO12" s="93">
        <f t="shared" si="8"/>
        <v>10216.716080000002</v>
      </c>
      <c r="DP12" s="54">
        <f t="shared" si="29"/>
        <v>847.2263400000002</v>
      </c>
      <c r="DQ12" s="54">
        <f t="shared" si="29"/>
        <v>847.2263400000002</v>
      </c>
      <c r="DR12" s="54">
        <f t="shared" si="29"/>
        <v>847.2263400000002</v>
      </c>
      <c r="DS12" s="54">
        <f t="shared" si="29"/>
        <v>847.2263400000002</v>
      </c>
      <c r="DT12" s="54">
        <f t="shared" si="29"/>
        <v>847.2263400000002</v>
      </c>
      <c r="DU12" s="54">
        <f t="shared" si="29"/>
        <v>847.2263400000002</v>
      </c>
      <c r="DV12" s="54">
        <f t="shared" si="29"/>
        <v>847.2263400000002</v>
      </c>
      <c r="DW12" s="54">
        <f t="shared" si="29"/>
        <v>847.2263400000002</v>
      </c>
      <c r="DX12" s="54">
        <f t="shared" si="29"/>
        <v>897.2263400000002</v>
      </c>
      <c r="DY12" s="54">
        <f t="shared" si="29"/>
        <v>847.2263400000002</v>
      </c>
      <c r="DZ12" s="54">
        <f t="shared" si="29"/>
        <v>847.2263400000002</v>
      </c>
      <c r="EA12" s="54">
        <f t="shared" si="29"/>
        <v>847.2263400000002</v>
      </c>
      <c r="EB12" s="93">
        <f t="shared" si="10"/>
        <v>10216.716080000002</v>
      </c>
      <c r="EC12" s="54">
        <f t="shared" si="29"/>
        <v>847.2263400000002</v>
      </c>
      <c r="ED12" s="54">
        <f t="shared" si="29"/>
        <v>847.2263400000002</v>
      </c>
      <c r="EE12" s="54">
        <f t="shared" si="29"/>
        <v>847.2263400000002</v>
      </c>
      <c r="EF12" s="54">
        <f t="shared" si="29"/>
        <v>847.2263400000002</v>
      </c>
      <c r="EG12" s="54">
        <f t="shared" si="29"/>
        <v>847.2263400000002</v>
      </c>
      <c r="EH12" s="54">
        <f t="shared" si="29"/>
        <v>847.2263400000002</v>
      </c>
      <c r="EI12" s="54">
        <f t="shared" si="29"/>
        <v>847.2263400000002</v>
      </c>
      <c r="EJ12" s="54">
        <f t="shared" si="29"/>
        <v>847.2263400000002</v>
      </c>
      <c r="EK12" s="54">
        <f t="shared" si="29"/>
        <v>897.2263400000002</v>
      </c>
      <c r="EL12" s="54">
        <f t="shared" si="29"/>
        <v>847.2263400000002</v>
      </c>
      <c r="EM12" s="54">
        <f t="shared" si="29"/>
        <v>847.2263400000002</v>
      </c>
      <c r="EN12" s="54">
        <f t="shared" si="29"/>
        <v>847.2263400000002</v>
      </c>
      <c r="EO12" s="93">
        <f t="shared" si="12"/>
        <v>10216.716080000002</v>
      </c>
      <c r="EP12" s="54">
        <f t="shared" si="29"/>
        <v>847.2263400000002</v>
      </c>
      <c r="EQ12" s="54">
        <f t="shared" si="29"/>
        <v>847.2263400000002</v>
      </c>
      <c r="ER12" s="54">
        <f t="shared" si="29"/>
        <v>847.2263400000002</v>
      </c>
      <c r="ES12" s="54">
        <f t="shared" si="29"/>
        <v>847.2263400000002</v>
      </c>
      <c r="ET12" s="54">
        <f t="shared" si="29"/>
        <v>847.2263400000002</v>
      </c>
      <c r="EU12" s="54">
        <f t="shared" si="29"/>
        <v>847.2263400000002</v>
      </c>
      <c r="EV12" s="54">
        <f t="shared" si="29"/>
        <v>847.2263400000002</v>
      </c>
      <c r="EW12" s="54">
        <f t="shared" si="29"/>
        <v>847.2263400000002</v>
      </c>
      <c r="EX12" s="54">
        <f t="shared" si="29"/>
        <v>897.2263400000002</v>
      </c>
      <c r="EY12" s="54">
        <f t="shared" si="29"/>
        <v>847.2263400000002</v>
      </c>
      <c r="EZ12" s="54">
        <f t="shared" si="29"/>
        <v>847.2263400000002</v>
      </c>
      <c r="FA12" s="54">
        <f t="shared" si="29"/>
        <v>847.2263400000002</v>
      </c>
      <c r="FB12" s="93">
        <f t="shared" si="13"/>
        <v>10216.716080000002</v>
      </c>
      <c r="FC12" s="54">
        <f t="shared" si="29"/>
        <v>847.2263400000002</v>
      </c>
      <c r="FD12" s="54">
        <f t="shared" si="29"/>
        <v>847.2263400000002</v>
      </c>
      <c r="FE12" s="54">
        <f t="shared" si="29"/>
        <v>847.2263400000002</v>
      </c>
      <c r="FF12" s="54">
        <f t="shared" si="29"/>
        <v>847.2263400000002</v>
      </c>
      <c r="FG12" s="54">
        <f t="shared" si="29"/>
        <v>847.2263400000002</v>
      </c>
      <c r="FH12" s="54">
        <f t="shared" si="29"/>
        <v>847.2263400000002</v>
      </c>
      <c r="FI12" s="54">
        <f t="shared" si="29"/>
        <v>847.2263400000002</v>
      </c>
      <c r="FJ12" s="54">
        <f t="shared" si="29"/>
        <v>847.2263400000002</v>
      </c>
      <c r="FK12" s="54">
        <f t="shared" si="29"/>
        <v>897.2263400000002</v>
      </c>
      <c r="FL12" s="54">
        <f t="shared" si="29"/>
        <v>847.2263400000002</v>
      </c>
      <c r="FM12" s="54">
        <f t="shared" si="29"/>
        <v>847.2263400000002</v>
      </c>
      <c r="FN12" s="54">
        <f t="shared" si="29"/>
        <v>847.2263400000002</v>
      </c>
      <c r="FO12" s="93">
        <f t="shared" si="14"/>
        <v>10216.716080000002</v>
      </c>
      <c r="FP12" s="54">
        <f aca="true" t="shared" si="30" ref="FP12:GA12">FP13+FP14+FP15+FP16+FP17+FP18+FP19+FP20+FP21+FP22</f>
        <v>847.2263400000002</v>
      </c>
      <c r="FQ12" s="54">
        <f t="shared" si="30"/>
        <v>847.2263400000002</v>
      </c>
      <c r="FR12" s="54">
        <f t="shared" si="30"/>
        <v>847.2263400000002</v>
      </c>
      <c r="FS12" s="54">
        <f t="shared" si="30"/>
        <v>847.2263400000002</v>
      </c>
      <c r="FT12" s="54">
        <f t="shared" si="30"/>
        <v>847.2263400000002</v>
      </c>
      <c r="FU12" s="54">
        <f t="shared" si="30"/>
        <v>847.2263400000002</v>
      </c>
      <c r="FV12" s="54">
        <f t="shared" si="30"/>
        <v>847.2263400000002</v>
      </c>
      <c r="FW12" s="54">
        <f t="shared" si="30"/>
        <v>847.2263400000002</v>
      </c>
      <c r="FX12" s="54">
        <f t="shared" si="30"/>
        <v>897.2263400000002</v>
      </c>
      <c r="FY12" s="54">
        <f t="shared" si="30"/>
        <v>847.2263400000002</v>
      </c>
      <c r="FZ12" s="54">
        <f t="shared" si="30"/>
        <v>847.2263400000002</v>
      </c>
      <c r="GA12" s="54">
        <f t="shared" si="30"/>
        <v>847.2263400000002</v>
      </c>
      <c r="GB12" s="93">
        <f t="shared" si="15"/>
        <v>10216.716080000002</v>
      </c>
      <c r="GC12" s="54">
        <f aca="true" t="shared" si="31" ref="GC12:GN12">GC13+GC14+GC15+GC16+GC17+GC18+GC19+GC20+GC21+GC22</f>
        <v>847.2263400000002</v>
      </c>
      <c r="GD12" s="54">
        <f t="shared" si="31"/>
        <v>847.2263400000002</v>
      </c>
      <c r="GE12" s="54">
        <f t="shared" si="31"/>
        <v>847.2263400000002</v>
      </c>
      <c r="GF12" s="54">
        <f t="shared" si="31"/>
        <v>847.2263400000002</v>
      </c>
      <c r="GG12" s="54">
        <f t="shared" si="31"/>
        <v>847.2263400000002</v>
      </c>
      <c r="GH12" s="54">
        <f t="shared" si="31"/>
        <v>847.2263400000002</v>
      </c>
      <c r="GI12" s="54">
        <f t="shared" si="31"/>
        <v>847.2263400000002</v>
      </c>
      <c r="GJ12" s="54">
        <f t="shared" si="31"/>
        <v>847.2263400000002</v>
      </c>
      <c r="GK12" s="54">
        <f t="shared" si="31"/>
        <v>897.2263400000002</v>
      </c>
      <c r="GL12" s="54">
        <f t="shared" si="31"/>
        <v>847.2263400000002</v>
      </c>
      <c r="GM12" s="54">
        <f t="shared" si="31"/>
        <v>847.2263400000002</v>
      </c>
      <c r="GN12" s="54">
        <f t="shared" si="31"/>
        <v>847.2263400000002</v>
      </c>
      <c r="GO12" s="93">
        <f t="shared" si="16"/>
        <v>10216.716080000002</v>
      </c>
      <c r="GP12" s="54">
        <f aca="true" t="shared" si="32" ref="GP12:HA12">GP13+GP14+GP15+GP16+GP17+GP18+GP19+GP20+GP21+GP22</f>
        <v>847.2263400000002</v>
      </c>
      <c r="GQ12" s="54">
        <f t="shared" si="32"/>
        <v>847.2263400000002</v>
      </c>
      <c r="GR12" s="54">
        <f t="shared" si="32"/>
        <v>847.2263400000002</v>
      </c>
      <c r="GS12" s="54">
        <f t="shared" si="32"/>
        <v>847.2263400000002</v>
      </c>
      <c r="GT12" s="54">
        <f t="shared" si="32"/>
        <v>847.2263400000002</v>
      </c>
      <c r="GU12" s="54">
        <f t="shared" si="32"/>
        <v>847.2263400000002</v>
      </c>
      <c r="GV12" s="54">
        <f t="shared" si="32"/>
        <v>847.2263400000002</v>
      </c>
      <c r="GW12" s="54">
        <f t="shared" si="32"/>
        <v>847.2263400000002</v>
      </c>
      <c r="GX12" s="54">
        <f t="shared" si="32"/>
        <v>897.2263400000002</v>
      </c>
      <c r="GY12" s="54">
        <f t="shared" si="32"/>
        <v>847.2263400000002</v>
      </c>
      <c r="GZ12" s="54">
        <f t="shared" si="32"/>
        <v>847.2263400000002</v>
      </c>
      <c r="HA12" s="54">
        <f t="shared" si="32"/>
        <v>847.2263400000002</v>
      </c>
      <c r="HB12" s="93">
        <f t="shared" si="18"/>
        <v>10216.716080000002</v>
      </c>
      <c r="HC12" s="49">
        <f t="shared" si="19"/>
        <v>149282.49968</v>
      </c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93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93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93"/>
      <c r="IP12" s="54"/>
      <c r="IQ12" s="54"/>
      <c r="IR12" s="54"/>
      <c r="IS12" s="54"/>
      <c r="IT12" s="54"/>
      <c r="IU12" s="54"/>
      <c r="IV12" s="54"/>
    </row>
    <row r="13" spans="2:256" ht="14.25" outlineLevel="3">
      <c r="B13" s="98" t="s">
        <v>381</v>
      </c>
      <c r="C13" s="53"/>
      <c r="D13" s="53"/>
      <c r="E13" s="53"/>
      <c r="F13" s="53"/>
      <c r="G13" s="53"/>
      <c r="H13" s="53"/>
      <c r="I13" s="53"/>
      <c r="J13" s="53"/>
      <c r="K13" s="53">
        <f>'Штатное расписание'!V4/1000</f>
        <v>339.42166000000003</v>
      </c>
      <c r="L13" s="53">
        <f>'Штатное расписание'!V4/1000</f>
        <v>339.42166000000003</v>
      </c>
      <c r="M13" s="53">
        <f>'Штатное расписание'!V4/1000</f>
        <v>339.42166000000003</v>
      </c>
      <c r="N13" s="53">
        <f>'Штатное расписание'!V4/1000</f>
        <v>339.42166000000003</v>
      </c>
      <c r="O13" s="93">
        <f t="shared" si="20"/>
        <v>1357.6866400000001</v>
      </c>
      <c r="P13" s="53">
        <f>'Штатное расписание'!V4/1000</f>
        <v>339.42166000000003</v>
      </c>
      <c r="Q13" s="53">
        <f>'Штатное расписание'!V4/1000</f>
        <v>339.42166000000003</v>
      </c>
      <c r="R13" s="53">
        <f>'Штатное расписание'!V4/1000</f>
        <v>339.42166000000003</v>
      </c>
      <c r="S13" s="53">
        <f>'Штатное расписание'!V4/1000</f>
        <v>339.42166000000003</v>
      </c>
      <c r="T13" s="53">
        <f>'Штатное расписание'!V4/1000</f>
        <v>339.42166000000003</v>
      </c>
      <c r="U13" s="53">
        <f>'Штатное расписание'!V4/1000</f>
        <v>339.42166000000003</v>
      </c>
      <c r="V13" s="53">
        <f>'Штатное расписание'!V4/1000</f>
        <v>339.42166000000003</v>
      </c>
      <c r="W13" s="53">
        <f>'Штатное расписание'!V4/1000</f>
        <v>339.42166000000003</v>
      </c>
      <c r="X13" s="53">
        <f>('Штатное расписание'!V4+'Штатное расписание'!V5+'Штатное расписание'!V6)/1000</f>
        <v>642.9627800000001</v>
      </c>
      <c r="Y13" s="53">
        <f>('Штатное расписание'!V4+'Штатное расписание'!V5+'Штатное расписание'!V6)/1000</f>
        <v>642.9627800000001</v>
      </c>
      <c r="Z13" s="53">
        <f>('Штатное расписание'!V4+'Штатное расписание'!V5+'Штатное расписание'!V6)/1000</f>
        <v>642.9627800000001</v>
      </c>
      <c r="AA13" s="53">
        <f>('Штатное расписание'!V4+'Штатное расписание'!V5+'Штатное расписание'!V6)/1000</f>
        <v>642.9627800000001</v>
      </c>
      <c r="AB13" s="93">
        <f t="shared" si="22"/>
        <v>5287.2244</v>
      </c>
      <c r="AC13" s="53">
        <f>('Штатное расписание'!V4+'Штатное расписание'!V5+'Штатное расписание'!V6)/1000</f>
        <v>642.9627800000001</v>
      </c>
      <c r="AD13" s="53">
        <f>('Штатное расписание'!V4+'Штатное расписание'!V5+'Штатное расписание'!V6)/1000</f>
        <v>642.9627800000001</v>
      </c>
      <c r="AE13" s="53">
        <f>('Штатное расписание'!V4+'Штатное расписание'!V5+'Штатное расписание'!V6)/1000</f>
        <v>642.9627800000001</v>
      </c>
      <c r="AF13" s="53">
        <f>('Штатное расписание'!V4+'Штатное расписание'!V5+'Штатное расписание'!V6)/1000</f>
        <v>642.9627800000001</v>
      </c>
      <c r="AG13" s="53">
        <f>('Штатное расписание'!V4+'Штатное расписание'!V5+'Штатное расписание'!V6)/1000</f>
        <v>642.9627800000001</v>
      </c>
      <c r="AH13" s="53">
        <f>('Штатное расписание'!V4+'Штатное расписание'!V5+'Штатное расписание'!V6)/1000</f>
        <v>642.9627800000001</v>
      </c>
      <c r="AI13" s="53">
        <f>('Штатное расписание'!V4+'Штатное расписание'!V5+'Штатное расписание'!V6)/1000</f>
        <v>642.9627800000001</v>
      </c>
      <c r="AJ13" s="53">
        <f>('Штатное расписание'!V4+'Штатное расписание'!V5+'Штатное расписание'!V6)/1000</f>
        <v>642.9627800000001</v>
      </c>
      <c r="AK13" s="53">
        <f>('Штатное расписание'!V4+'Штатное расписание'!V5+'Штатное расписание'!V6+'Штатное расписание'!V7)/1000</f>
        <v>794.7333400000001</v>
      </c>
      <c r="AL13" s="53">
        <f>('Штатное расписание'!V4+'Штатное расписание'!V5+'Штатное расписание'!V6+'Штатное расписание'!V7)/1000</f>
        <v>794.7333400000001</v>
      </c>
      <c r="AM13" s="53">
        <f>('Штатное расписание'!V4+'Штатное расписание'!V5+'Штатное расписание'!V6+'Штатное расписание'!V7)/1000</f>
        <v>794.7333400000001</v>
      </c>
      <c r="AN13" s="53">
        <f>('Штатное расписание'!V4+'Штатное расписание'!V5+'Штатное расписание'!V6+'Штатное расписание'!V7)/1000</f>
        <v>794.7333400000001</v>
      </c>
      <c r="AO13" s="93">
        <f t="shared" si="0"/>
        <v>8322.6356</v>
      </c>
      <c r="AP13" s="53">
        <f>('Штатное расписание'!V4+'Штатное расписание'!V5+'Штатное расписание'!V6+'Штатное расписание'!V7)/1000</f>
        <v>794.7333400000001</v>
      </c>
      <c r="AQ13" s="53">
        <f>('Штатное расписание'!V4+'Штатное расписание'!V5+'Штатное расписание'!V6+'Штатное расписание'!V7)/1000</f>
        <v>794.7333400000001</v>
      </c>
      <c r="AR13" s="53">
        <f>('Штатное расписание'!V4+'Штатное расписание'!V5+'Штатное расписание'!V6+'Штатное расписание'!V7)/1000</f>
        <v>794.7333400000001</v>
      </c>
      <c r="AS13" s="53">
        <f>('Штатное расписание'!V4+'Штатное расписание'!V5+'Штатное расписание'!V6+'Штатное расписание'!V7)/1000</f>
        <v>794.7333400000001</v>
      </c>
      <c r="AT13" s="53">
        <f>('Штатное расписание'!V4+'Штатное расписание'!V5+'Штатное расписание'!V6+'Штатное расписание'!V7)/1000</f>
        <v>794.7333400000001</v>
      </c>
      <c r="AU13" s="53">
        <f>('Штатное расписание'!V4+'Штатное расписание'!V5+'Штатное расписание'!V6+'Штатное расписание'!V7)/1000</f>
        <v>794.7333400000001</v>
      </c>
      <c r="AV13" s="53">
        <f>('Штатное расписание'!V4+'Штатное расписание'!V5+'Штатное расписание'!V6+'Штатное расписание'!V7)/1000</f>
        <v>794.7333400000001</v>
      </c>
      <c r="AW13" s="53">
        <f>('Штатное расписание'!V4+'Штатное расписание'!V5+'Штатное расписание'!V6+'Штатное расписание'!V7)/1000</f>
        <v>794.7333400000001</v>
      </c>
      <c r="AX13" s="53">
        <f>('Штатное расписание'!V4+'Штатное расписание'!V5+'Штатное расписание'!V6+'Штатное расписание'!V7)/1000</f>
        <v>794.7333400000001</v>
      </c>
      <c r="AY13" s="53">
        <f>('Штатное расписание'!V4+'Штатное расписание'!V5+'Штатное расписание'!V6+'Штатное расписание'!V7)/1000</f>
        <v>794.7333400000001</v>
      </c>
      <c r="AZ13" s="53">
        <f>('Штатное расписание'!V4+'Штатное расписание'!V5+'Штатное расписание'!V6+'Штатное расписание'!V7)/1000</f>
        <v>794.7333400000001</v>
      </c>
      <c r="BA13" s="53">
        <f>('Штатное расписание'!V4+'Штатное расписание'!V5+'Штатное расписание'!V6+'Штатное расписание'!V7)/1000</f>
        <v>794.7333400000001</v>
      </c>
      <c r="BB13" s="93">
        <f t="shared" si="2"/>
        <v>9536.80008</v>
      </c>
      <c r="BC13" s="53">
        <f>('Штатное расписание'!V4+'Штатное расписание'!V5+'Штатное расписание'!V6+'Штатное расписание'!V7)/1000</f>
        <v>794.7333400000001</v>
      </c>
      <c r="BD13" s="53">
        <f>('Штатное расписание'!V4+'Штатное расписание'!V5+'Штатное расписание'!V6+'Штатное расписание'!V7)/1000</f>
        <v>794.7333400000001</v>
      </c>
      <c r="BE13" s="53">
        <f>('Штатное расписание'!V4+'Штатное расписание'!V5+'Штатное расписание'!V6+'Штатное расписание'!V7)/1000</f>
        <v>794.7333400000001</v>
      </c>
      <c r="BF13" s="53">
        <f>('Штатное расписание'!V4+'Штатное расписание'!V5+'Штатное расписание'!V6+'Штатное расписание'!V7)/1000</f>
        <v>794.7333400000001</v>
      </c>
      <c r="BG13" s="53">
        <f>('Штатное расписание'!V4+'Штатное расписание'!V5+'Штатное расписание'!V6+'Штатное расписание'!V7)/1000</f>
        <v>794.7333400000001</v>
      </c>
      <c r="BH13" s="53">
        <f>('Штатное расписание'!V4+'Штатное расписание'!V5+'Штатное расписание'!V6+'Штатное расписание'!V7)/1000</f>
        <v>794.7333400000001</v>
      </c>
      <c r="BI13" s="53">
        <f>('Штатное расписание'!V4+'Штатное расписание'!V5+'Штатное расписание'!V6+'Штатное расписание'!V7)/1000</f>
        <v>794.7333400000001</v>
      </c>
      <c r="BJ13" s="53">
        <f>('Штатное расписание'!V4+'Штатное расписание'!V5+'Штатное расписание'!V6+'Штатное расписание'!V7)/1000</f>
        <v>794.7333400000001</v>
      </c>
      <c r="BK13" s="53">
        <f>('Штатное расписание'!V4+'Штатное расписание'!V5+'Штатное расписание'!V6+'Штатное расписание'!V7)/1000</f>
        <v>794.7333400000001</v>
      </c>
      <c r="BL13" s="53">
        <f>('Штатное расписание'!V4+'Штатное расписание'!V5+'Штатное расписание'!V6+'Штатное расписание'!V7)/1000</f>
        <v>794.7333400000001</v>
      </c>
      <c r="BM13" s="53">
        <f>('Штатное расписание'!V4+'Штатное расписание'!V5+'Штатное расписание'!V6+'Штатное расписание'!V7)/1000</f>
        <v>794.7333400000001</v>
      </c>
      <c r="BN13" s="53">
        <f>('Штатное расписание'!V4+'Штатное расписание'!V5+'Штатное расписание'!V6+'Штатное расписание'!V7)/1000</f>
        <v>794.7333400000001</v>
      </c>
      <c r="BO13" s="93">
        <f t="shared" si="4"/>
        <v>9536.80008</v>
      </c>
      <c r="BP13" s="53">
        <f>('Штатное расписание'!V4+'Штатное расписание'!V5+'Штатное расписание'!V6+'Штатное расписание'!V7)/1000</f>
        <v>794.7333400000001</v>
      </c>
      <c r="BQ13" s="53">
        <f>('Штатное расписание'!V4+'Штатное расписание'!V5+'Штатное расписание'!V6+'Штатное расписание'!V7)/1000</f>
        <v>794.7333400000001</v>
      </c>
      <c r="BR13" s="53">
        <f>('Штатное расписание'!V4+'Штатное расписание'!V5+'Штатное расписание'!V6+'Штатное расписание'!V7)/1000</f>
        <v>794.7333400000001</v>
      </c>
      <c r="BS13" s="53">
        <f>('Штатное расписание'!V4+'Штатное расписание'!V5+'Штатное расписание'!V6+'Штатное расписание'!V7)/1000</f>
        <v>794.7333400000001</v>
      </c>
      <c r="BT13" s="53">
        <f>('Штатное расписание'!V4+'Штатное расписание'!V5+'Штатное расписание'!V6+'Штатное расписание'!V7)/1000</f>
        <v>794.7333400000001</v>
      </c>
      <c r="BU13" s="53">
        <f>('Штатное расписание'!V4+'Штатное расписание'!V5+'Штатное расписание'!V6+'Штатное расписание'!V7)/1000</f>
        <v>794.7333400000001</v>
      </c>
      <c r="BV13" s="53">
        <f>('Штатное расписание'!V4+'Штатное расписание'!V5+'Штатное расписание'!V6+'Штатное расписание'!V7)/1000</f>
        <v>794.7333400000001</v>
      </c>
      <c r="BW13" s="53">
        <f>('Штатное расписание'!V4+'Штатное расписание'!V5+'Штатное расписание'!V6+'Штатное расписание'!V7)/1000</f>
        <v>794.7333400000001</v>
      </c>
      <c r="BX13" s="53">
        <f>('Штатное расписание'!V4+'Штатное расписание'!V5+'Штатное расписание'!V6+'Штатное расписание'!V7)/1000</f>
        <v>794.7333400000001</v>
      </c>
      <c r="BY13" s="53">
        <f>('Штатное расписание'!V4+'Штатное расписание'!V5+'Штатное расписание'!V6+'Штатное расписание'!V7)/1000</f>
        <v>794.7333400000001</v>
      </c>
      <c r="BZ13" s="53">
        <f>('Штатное расписание'!V4+'Штатное расписание'!V5+'Штатное расписание'!V6+'Штатное расписание'!V7)/1000</f>
        <v>794.7333400000001</v>
      </c>
      <c r="CA13" s="53">
        <f>('Штатное расписание'!V4+'Штатное расписание'!V5+'Штатное расписание'!V6+'Штатное расписание'!V7)/1000</f>
        <v>794.7333400000001</v>
      </c>
      <c r="CB13" s="93">
        <f t="shared" si="5"/>
        <v>9536.80008</v>
      </c>
      <c r="CC13" s="53">
        <f>('Штатное расписание'!V4+'Штатное расписание'!V5+'Штатное расписание'!V6+'Штатное расписание'!V7)/1000</f>
        <v>794.7333400000001</v>
      </c>
      <c r="CD13" s="53">
        <f>('Штатное расписание'!V4+'Штатное расписание'!V5+'Штатное расписание'!V6+'Штатное расписание'!V7)/1000</f>
        <v>794.7333400000001</v>
      </c>
      <c r="CE13" s="53">
        <f>('Штатное расписание'!V4+'Штатное расписание'!V5+'Штатное расписание'!V6+'Штатное расписание'!V7)/1000</f>
        <v>794.7333400000001</v>
      </c>
      <c r="CF13" s="53">
        <f>('Штатное расписание'!V4+'Штатное расписание'!V5+'Штатное расписание'!V6+'Штатное расписание'!V7)/1000</f>
        <v>794.7333400000001</v>
      </c>
      <c r="CG13" s="53">
        <f>('Штатное расписание'!V4+'Штатное расписание'!V5+'Штатное расписание'!V6+'Штатное расписание'!V7)/1000</f>
        <v>794.7333400000001</v>
      </c>
      <c r="CH13" s="53">
        <f>('Штатное расписание'!V4+'Штатное расписание'!V5+'Штатное расписание'!V6+'Штатное расписание'!V7)/1000</f>
        <v>794.7333400000001</v>
      </c>
      <c r="CI13" s="53">
        <f>('Штатное расписание'!V4+'Штатное расписание'!V5+'Штатное расписание'!V6+'Штатное расписание'!V7)/1000</f>
        <v>794.7333400000001</v>
      </c>
      <c r="CJ13" s="53">
        <f>('Штатное расписание'!V4+'Штатное расписание'!V5+'Штатное расписание'!V6+'Штатное расписание'!V7)/1000</f>
        <v>794.7333400000001</v>
      </c>
      <c r="CK13" s="53">
        <f>('Штатное расписание'!V4+'Штатное расписание'!V5+'Штатное расписание'!V6+'Штатное расписание'!V7)/1000</f>
        <v>794.7333400000001</v>
      </c>
      <c r="CL13" s="53">
        <f>('Штатное расписание'!V4+'Штатное расписание'!V5+'Штатное расписание'!V6+'Штатное расписание'!V7)/1000</f>
        <v>794.7333400000001</v>
      </c>
      <c r="CM13" s="53">
        <f>('Штатное расписание'!V4+'Штатное расписание'!V5+'Штатное расписание'!V6+'Штатное расписание'!V7)/1000</f>
        <v>794.7333400000001</v>
      </c>
      <c r="CN13" s="53">
        <f>('Штатное расписание'!V4+'Штатное расписание'!V5+'Штатное расписание'!V6+'Штатное расписание'!V7)/1000</f>
        <v>794.7333400000001</v>
      </c>
      <c r="CO13" s="93">
        <f t="shared" si="6"/>
        <v>9536.80008</v>
      </c>
      <c r="CP13" s="53">
        <f>('Штатное расписание'!V4+'Штатное расписание'!V5+'Штатное расписание'!V6+'Штатное расписание'!V7)/1000</f>
        <v>794.7333400000001</v>
      </c>
      <c r="CQ13" s="53">
        <f>('Штатное расписание'!V4+'Штатное расписание'!V5+'Штатное расписание'!V6+'Штатное расписание'!V7)/1000</f>
        <v>794.7333400000001</v>
      </c>
      <c r="CR13" s="53">
        <f>('Штатное расписание'!V4+'Штатное расписание'!V5+'Штатное расписание'!V6+'Штатное расписание'!V7)/1000</f>
        <v>794.7333400000001</v>
      </c>
      <c r="CS13" s="53">
        <f>('Штатное расписание'!V4+'Штатное расписание'!V5+'Штатное расписание'!V6+'Штатное расписание'!V7)/1000</f>
        <v>794.7333400000001</v>
      </c>
      <c r="CT13" s="53">
        <f>('Штатное расписание'!V4+'Штатное расписание'!V5+'Штатное расписание'!V6+'Штатное расписание'!V7)/1000</f>
        <v>794.7333400000001</v>
      </c>
      <c r="CU13" s="53">
        <f>('Штатное расписание'!V4+'Штатное расписание'!V5+'Штатное расписание'!V6+'Штатное расписание'!V7)/1000</f>
        <v>794.7333400000001</v>
      </c>
      <c r="CV13" s="53">
        <f>('Штатное расписание'!V4+'Штатное расписание'!V5+'Штатное расписание'!V6+'Штатное расписание'!V7)/1000</f>
        <v>794.7333400000001</v>
      </c>
      <c r="CW13" s="53">
        <f>('Штатное расписание'!V4+'Штатное расписание'!V5+'Штатное расписание'!V6+'Штатное расписание'!V7)/1000</f>
        <v>794.7333400000001</v>
      </c>
      <c r="CX13" s="53">
        <f>('Штатное расписание'!V4+'Штатное расписание'!V5+'Штатное расписание'!V6+'Штатное расписание'!V7)/1000</f>
        <v>794.7333400000001</v>
      </c>
      <c r="CY13" s="53">
        <f>('Штатное расписание'!V4+'Штатное расписание'!V5+'Штатное расписание'!V6+'Штатное расписание'!V7)/1000</f>
        <v>794.7333400000001</v>
      </c>
      <c r="CZ13" s="53">
        <f>('Штатное расписание'!V4+'Штатное расписание'!V5+'Штатное расписание'!V6+'Штатное расписание'!V7)/1000</f>
        <v>794.7333400000001</v>
      </c>
      <c r="DA13" s="53">
        <f>('Штатное расписание'!V4+'Штатное расписание'!V5+'Штатное расписание'!V6+'Штатное расписание'!V7)/1000</f>
        <v>794.7333400000001</v>
      </c>
      <c r="DB13" s="93">
        <f t="shared" si="7"/>
        <v>9536.80008</v>
      </c>
      <c r="DC13" s="53">
        <f>('Штатное расписание'!V4+'Штатное расписание'!V5+'Штатное расписание'!V6+'Штатное расписание'!V7)/1000</f>
        <v>794.7333400000001</v>
      </c>
      <c r="DD13" s="53">
        <f>('Штатное расписание'!V4+'Штатное расписание'!V5+'Штатное расписание'!V6+'Штатное расписание'!V7)/1000</f>
        <v>794.7333400000001</v>
      </c>
      <c r="DE13" s="53">
        <f>('Штатное расписание'!V4+'Штатное расписание'!V5+'Штатное расписание'!V6+'Штатное расписание'!V7)/1000</f>
        <v>794.7333400000001</v>
      </c>
      <c r="DF13" s="53">
        <f>('Штатное расписание'!V4+'Штатное расписание'!V5+'Штатное расписание'!V6+'Штатное расписание'!V7)/1000</f>
        <v>794.7333400000001</v>
      </c>
      <c r="DG13" s="53">
        <f>('Штатное расписание'!V4+'Штатное расписание'!V5+'Штатное расписание'!V6+'Штатное расписание'!V7)/1000</f>
        <v>794.7333400000001</v>
      </c>
      <c r="DH13" s="53">
        <f>('Штатное расписание'!V4+'Штатное расписание'!V5+'Штатное расписание'!V6+'Штатное расписание'!V7)/1000</f>
        <v>794.7333400000001</v>
      </c>
      <c r="DI13" s="53">
        <f>('Штатное расписание'!V4+'Штатное расписание'!V5+'Штатное расписание'!V6+'Штатное расписание'!V7)/1000</f>
        <v>794.7333400000001</v>
      </c>
      <c r="DJ13" s="53">
        <f>('Штатное расписание'!V4+'Штатное расписание'!V5+'Штатное расписание'!V6+'Штатное расписание'!V7)/1000</f>
        <v>794.7333400000001</v>
      </c>
      <c r="DK13" s="53">
        <f>('Штатное расписание'!V4+'Штатное расписание'!V5+'Штатное расписание'!V6+'Штатное расписание'!V7)/1000</f>
        <v>794.7333400000001</v>
      </c>
      <c r="DL13" s="53">
        <f>('Штатное расписание'!V4+'Штатное расписание'!V5+'Штатное расписание'!V6+'Штатное расписание'!V7)/1000</f>
        <v>794.7333400000001</v>
      </c>
      <c r="DM13" s="53">
        <f>('Штатное расписание'!V4+'Штатное расписание'!V5+'Штатное расписание'!V6+'Штатное расписание'!V7)/1000</f>
        <v>794.7333400000001</v>
      </c>
      <c r="DN13" s="53">
        <f>('Штатное расписание'!V4+'Штатное расписание'!V5+'Штатное расписание'!V6+'Штатное расписание'!V7)/1000</f>
        <v>794.7333400000001</v>
      </c>
      <c r="DO13" s="93">
        <f t="shared" si="8"/>
        <v>9536.80008</v>
      </c>
      <c r="DP13" s="53">
        <f>('Штатное расписание'!V4+'Штатное расписание'!V5+'Штатное расписание'!V6+'Штатное расписание'!V7)/1000</f>
        <v>794.7333400000001</v>
      </c>
      <c r="DQ13" s="53">
        <f>('Штатное расписание'!V4+'Штатное расписание'!V5+'Штатное расписание'!V6+'Штатное расписание'!V7)/1000</f>
        <v>794.7333400000001</v>
      </c>
      <c r="DR13" s="53">
        <f>('Штатное расписание'!V4+'Штатное расписание'!V5+'Штатное расписание'!V6+'Штатное расписание'!V7)/1000</f>
        <v>794.7333400000001</v>
      </c>
      <c r="DS13" s="53">
        <f>('Штатное расписание'!V4+'Штатное расписание'!V5+'Штатное расписание'!V6+'Штатное расписание'!V7)/1000</f>
        <v>794.7333400000001</v>
      </c>
      <c r="DT13" s="53">
        <f>('Штатное расписание'!V4+'Штатное расписание'!V5+'Штатное расписание'!V6+'Штатное расписание'!V7)/1000</f>
        <v>794.7333400000001</v>
      </c>
      <c r="DU13" s="53">
        <f>('Штатное расписание'!V4+'Штатное расписание'!V5+'Штатное расписание'!V6+'Штатное расписание'!V7)/1000</f>
        <v>794.7333400000001</v>
      </c>
      <c r="DV13" s="53">
        <f>('Штатное расписание'!V4+'Штатное расписание'!V5+'Штатное расписание'!V6+'Штатное расписание'!V7)/1000</f>
        <v>794.7333400000001</v>
      </c>
      <c r="DW13" s="53">
        <f>('Штатное расписание'!V4+'Штатное расписание'!V5+'Штатное расписание'!V6+'Штатное расписание'!V7)/1000</f>
        <v>794.7333400000001</v>
      </c>
      <c r="DX13" s="53">
        <f>('Штатное расписание'!V4+'Штатное расписание'!V5+'Штатное расписание'!V6+'Штатное расписание'!V7)/1000</f>
        <v>794.7333400000001</v>
      </c>
      <c r="DY13" s="53">
        <f>('Штатное расписание'!V4+'Штатное расписание'!V5+'Штатное расписание'!V6+'Штатное расписание'!V7)/1000</f>
        <v>794.7333400000001</v>
      </c>
      <c r="DZ13" s="53">
        <f>('Штатное расписание'!V4+'Штатное расписание'!V5+'Штатное расписание'!V6+'Штатное расписание'!V7)/1000</f>
        <v>794.7333400000001</v>
      </c>
      <c r="EA13" s="53">
        <f>('Штатное расписание'!V4+'Штатное расписание'!V5+'Штатное расписание'!V6+'Штатное расписание'!V7)/1000</f>
        <v>794.7333400000001</v>
      </c>
      <c r="EB13" s="93">
        <f t="shared" si="10"/>
        <v>9536.80008</v>
      </c>
      <c r="EC13" s="53">
        <f>('Штатное расписание'!V4+'Штатное расписание'!V5+'Штатное расписание'!V6+'Штатное расписание'!V7)/1000</f>
        <v>794.7333400000001</v>
      </c>
      <c r="ED13" s="53">
        <f>('Штатное расписание'!V4+'Штатное расписание'!V5+'Штатное расписание'!V6+'Штатное расписание'!V7)/1000</f>
        <v>794.7333400000001</v>
      </c>
      <c r="EE13" s="53">
        <f>('Штатное расписание'!V4+'Штатное расписание'!V5+'Штатное расписание'!V6+'Штатное расписание'!V7)/1000</f>
        <v>794.7333400000001</v>
      </c>
      <c r="EF13" s="53">
        <f>('Штатное расписание'!V4+'Штатное расписание'!V5+'Штатное расписание'!V6+'Штатное расписание'!V7)/1000</f>
        <v>794.7333400000001</v>
      </c>
      <c r="EG13" s="53">
        <f>('Штатное расписание'!V4+'Штатное расписание'!V5+'Штатное расписание'!V6+'Штатное расписание'!V7)/1000</f>
        <v>794.7333400000001</v>
      </c>
      <c r="EH13" s="53">
        <f>('Штатное расписание'!V4+'Штатное расписание'!V5+'Штатное расписание'!V6+'Штатное расписание'!V7)/1000</f>
        <v>794.7333400000001</v>
      </c>
      <c r="EI13" s="53">
        <f>('Штатное расписание'!V4+'Штатное расписание'!V5+'Штатное расписание'!V6+'Штатное расписание'!V7)/1000</f>
        <v>794.7333400000001</v>
      </c>
      <c r="EJ13" s="53">
        <f>('Штатное расписание'!V4+'Штатное расписание'!V5+'Штатное расписание'!V6+'Штатное расписание'!V7)/1000</f>
        <v>794.7333400000001</v>
      </c>
      <c r="EK13" s="53">
        <f>('Штатное расписание'!V4+'Штатное расписание'!V5+'Штатное расписание'!V6+'Штатное расписание'!V7)/1000</f>
        <v>794.7333400000001</v>
      </c>
      <c r="EL13" s="53">
        <f>('Штатное расписание'!V4+'Штатное расписание'!V5+'Штатное расписание'!V6+'Штатное расписание'!V7)/1000</f>
        <v>794.7333400000001</v>
      </c>
      <c r="EM13" s="53">
        <f>('Штатное расписание'!V4+'Штатное расписание'!V5+'Штатное расписание'!V6+'Штатное расписание'!V7)/1000</f>
        <v>794.7333400000001</v>
      </c>
      <c r="EN13" s="53">
        <f>('Штатное расписание'!V4+'Штатное расписание'!V5+'Штатное расписание'!V6+'Штатное расписание'!V7)/1000</f>
        <v>794.7333400000001</v>
      </c>
      <c r="EO13" s="93">
        <f t="shared" si="12"/>
        <v>9536.80008</v>
      </c>
      <c r="EP13" s="53">
        <f>('Штатное расписание'!V4+'Штатное расписание'!V5+'Штатное расписание'!V6+'Штатное расписание'!V7)/1000</f>
        <v>794.7333400000001</v>
      </c>
      <c r="EQ13" s="53">
        <f>('Штатное расписание'!V4+'Штатное расписание'!V5+'Штатное расписание'!V6+'Штатное расписание'!V7)/1000</f>
        <v>794.7333400000001</v>
      </c>
      <c r="ER13" s="53">
        <f>('Штатное расписание'!V4+'Штатное расписание'!V5+'Штатное расписание'!V6+'Штатное расписание'!V7)/1000</f>
        <v>794.7333400000001</v>
      </c>
      <c r="ES13" s="53">
        <f>('Штатное расписание'!V4+'Штатное расписание'!V5+'Штатное расписание'!V6+'Штатное расписание'!V7)/1000</f>
        <v>794.7333400000001</v>
      </c>
      <c r="ET13" s="53">
        <f>('Штатное расписание'!V4+'Штатное расписание'!V5+'Штатное расписание'!V6+'Штатное расписание'!V7)/1000</f>
        <v>794.7333400000001</v>
      </c>
      <c r="EU13" s="53">
        <f>('Штатное расписание'!V4+'Штатное расписание'!V5+'Штатное расписание'!V6+'Штатное расписание'!V7)/1000</f>
        <v>794.7333400000001</v>
      </c>
      <c r="EV13" s="53">
        <f>('Штатное расписание'!V4+'Штатное расписание'!V5+'Штатное расписание'!V6+'Штатное расписание'!V7)/1000</f>
        <v>794.7333400000001</v>
      </c>
      <c r="EW13" s="53">
        <f>('Штатное расписание'!V4+'Штатное расписание'!V5+'Штатное расписание'!V6+'Штатное расписание'!V7)/1000</f>
        <v>794.7333400000001</v>
      </c>
      <c r="EX13" s="53">
        <f>('Штатное расписание'!V4+'Штатное расписание'!V5+'Штатное расписание'!V6+'Штатное расписание'!V7)/1000</f>
        <v>794.7333400000001</v>
      </c>
      <c r="EY13" s="53">
        <f>('Штатное расписание'!V4+'Штатное расписание'!V5+'Штатное расписание'!V6+'Штатное расписание'!V7)/1000</f>
        <v>794.7333400000001</v>
      </c>
      <c r="EZ13" s="53">
        <f>('Штатное расписание'!V4+'Штатное расписание'!V5+'Штатное расписание'!V6+'Штатное расписание'!V7)/1000</f>
        <v>794.7333400000001</v>
      </c>
      <c r="FA13" s="53">
        <f>('Штатное расписание'!V4+'Штатное расписание'!V5+'Штатное расписание'!V6+'Штатное расписание'!V7)/1000</f>
        <v>794.7333400000001</v>
      </c>
      <c r="FB13" s="93">
        <f t="shared" si="13"/>
        <v>9536.80008</v>
      </c>
      <c r="FC13" s="53">
        <f>('Штатное расписание'!V4+'Штатное расписание'!V5+'Штатное расписание'!V6+'Штатное расписание'!V7)/1000</f>
        <v>794.7333400000001</v>
      </c>
      <c r="FD13" s="53">
        <f>('Штатное расписание'!V4+'Штатное расписание'!V5+'Штатное расписание'!V6+'Штатное расписание'!V7)/1000</f>
        <v>794.7333400000001</v>
      </c>
      <c r="FE13" s="53">
        <f>('Штатное расписание'!V4+'Штатное расписание'!V5+'Штатное расписание'!V6+'Штатное расписание'!V7)/1000</f>
        <v>794.7333400000001</v>
      </c>
      <c r="FF13" s="53">
        <f>('Штатное расписание'!V4+'Штатное расписание'!V5+'Штатное расписание'!V6+'Штатное расписание'!V7)/1000</f>
        <v>794.7333400000001</v>
      </c>
      <c r="FG13" s="53">
        <f>('Штатное расписание'!V4+'Штатное расписание'!V5+'Штатное расписание'!V6+'Штатное расписание'!V7)/1000</f>
        <v>794.7333400000001</v>
      </c>
      <c r="FH13" s="53">
        <f>('Штатное расписание'!V4+'Штатное расписание'!V5+'Штатное расписание'!V6+'Штатное расписание'!V7)/1000</f>
        <v>794.7333400000001</v>
      </c>
      <c r="FI13" s="53">
        <f>('Штатное расписание'!V4+'Штатное расписание'!V5+'Штатное расписание'!V6+'Штатное расписание'!V7)/1000</f>
        <v>794.7333400000001</v>
      </c>
      <c r="FJ13" s="53">
        <f>('Штатное расписание'!V4+'Штатное расписание'!V5+'Штатное расписание'!V6+'Штатное расписание'!V7)/1000</f>
        <v>794.7333400000001</v>
      </c>
      <c r="FK13" s="53">
        <f>('Штатное расписание'!V4+'Штатное расписание'!V5+'Штатное расписание'!V6+'Штатное расписание'!V7)/1000</f>
        <v>794.7333400000001</v>
      </c>
      <c r="FL13" s="53">
        <f>('Штатное расписание'!V4+'Штатное расписание'!V5+'Штатное расписание'!V6+'Штатное расписание'!V7)/1000</f>
        <v>794.7333400000001</v>
      </c>
      <c r="FM13" s="53">
        <f>('Штатное расписание'!V4+'Штатное расписание'!V5+'Штатное расписание'!V6+'Штатное расписание'!V7)/1000</f>
        <v>794.7333400000001</v>
      </c>
      <c r="FN13" s="53">
        <f>('Штатное расписание'!V4+'Штатное расписание'!V5+'Штатное расписание'!V6+'Штатное расписание'!V7)/1000</f>
        <v>794.7333400000001</v>
      </c>
      <c r="FO13" s="93">
        <f t="shared" si="14"/>
        <v>9536.80008</v>
      </c>
      <c r="FP13" s="53">
        <f>('Штатное расписание'!V4+'Штатное расписание'!V5+'Штатное расписание'!V6+'Штатное расписание'!V7)/1000</f>
        <v>794.7333400000001</v>
      </c>
      <c r="FQ13" s="53">
        <f>('Штатное расписание'!V4+'Штатное расписание'!V5+'Штатное расписание'!V6+'Штатное расписание'!V7)/1000</f>
        <v>794.7333400000001</v>
      </c>
      <c r="FR13" s="53">
        <f>('Штатное расписание'!V4+'Штатное расписание'!V5+'Штатное расписание'!V6+'Штатное расписание'!V7)/1000</f>
        <v>794.7333400000001</v>
      </c>
      <c r="FS13" s="53">
        <f>('Штатное расписание'!V4+'Штатное расписание'!V5+'Штатное расписание'!V6+'Штатное расписание'!V7)/1000</f>
        <v>794.7333400000001</v>
      </c>
      <c r="FT13" s="53">
        <f>('Штатное расписание'!V4+'Штатное расписание'!V5+'Штатное расписание'!V6+'Штатное расписание'!V7)/1000</f>
        <v>794.7333400000001</v>
      </c>
      <c r="FU13" s="53">
        <f>('Штатное расписание'!V4+'Штатное расписание'!V5+'Штатное расписание'!V6+'Штатное расписание'!V7)/1000</f>
        <v>794.7333400000001</v>
      </c>
      <c r="FV13" s="53">
        <f>('Штатное расписание'!V4+'Штатное расписание'!V5+'Штатное расписание'!V6+'Штатное расписание'!V7)/1000</f>
        <v>794.7333400000001</v>
      </c>
      <c r="FW13" s="53">
        <f>('Штатное расписание'!V4+'Штатное расписание'!V5+'Штатное расписание'!V6+'Штатное расписание'!V7)/1000</f>
        <v>794.7333400000001</v>
      </c>
      <c r="FX13" s="53">
        <f>('Штатное расписание'!V4+'Штатное расписание'!V5+'Штатное расписание'!V6+'Штатное расписание'!V7)/1000</f>
        <v>794.7333400000001</v>
      </c>
      <c r="FY13" s="53">
        <f>('Штатное расписание'!V4+'Штатное расписание'!V5+'Штатное расписание'!V6+'Штатное расписание'!V7)/1000</f>
        <v>794.7333400000001</v>
      </c>
      <c r="FZ13" s="53">
        <f>('Штатное расписание'!V4+'Штатное расписание'!V5+'Штатное расписание'!V6+'Штатное расписание'!V7)/1000</f>
        <v>794.7333400000001</v>
      </c>
      <c r="GA13" s="53">
        <f>('Штатное расписание'!V4+'Штатное расписание'!V5+'Штатное расписание'!V6+'Штатное расписание'!V7)/1000</f>
        <v>794.7333400000001</v>
      </c>
      <c r="GB13" s="93">
        <f t="shared" si="15"/>
        <v>9536.80008</v>
      </c>
      <c r="GC13" s="53">
        <f>('Штатное расписание'!V4+'Штатное расписание'!V5+'Штатное расписание'!V6+'Штатное расписание'!V7)/1000</f>
        <v>794.7333400000001</v>
      </c>
      <c r="GD13" s="53">
        <f>('Штатное расписание'!V4+'Штатное расписание'!V5+'Штатное расписание'!V6+'Штатное расписание'!V7)/1000</f>
        <v>794.7333400000001</v>
      </c>
      <c r="GE13" s="53">
        <f>('Штатное расписание'!V4+'Штатное расписание'!V5+'Штатное расписание'!V6+'Штатное расписание'!V7)/1000</f>
        <v>794.7333400000001</v>
      </c>
      <c r="GF13" s="53">
        <f>('Штатное расписание'!V4+'Штатное расписание'!V5+'Штатное расписание'!V6+'Штатное расписание'!V7)/1000</f>
        <v>794.7333400000001</v>
      </c>
      <c r="GG13" s="53">
        <f>('Штатное расписание'!V4+'Штатное расписание'!V5+'Штатное расписание'!V6+'Штатное расписание'!V7)/1000</f>
        <v>794.7333400000001</v>
      </c>
      <c r="GH13" s="53">
        <f>('Штатное расписание'!V4+'Штатное расписание'!V5+'Штатное расписание'!V6+'Штатное расписание'!V7)/1000</f>
        <v>794.7333400000001</v>
      </c>
      <c r="GI13" s="53">
        <f>('Штатное расписание'!V4+'Штатное расписание'!V5+'Штатное расписание'!V6+'Штатное расписание'!V7)/1000</f>
        <v>794.7333400000001</v>
      </c>
      <c r="GJ13" s="53">
        <f>('Штатное расписание'!V4+'Штатное расписание'!V5+'Штатное расписание'!V6+'Штатное расписание'!V7)/1000</f>
        <v>794.7333400000001</v>
      </c>
      <c r="GK13" s="53">
        <f>('Штатное расписание'!V4+'Штатное расписание'!V5+'Штатное расписание'!V6+'Штатное расписание'!V7)/1000</f>
        <v>794.7333400000001</v>
      </c>
      <c r="GL13" s="53">
        <f>('Штатное расписание'!V4+'Штатное расписание'!V5+'Штатное расписание'!V6+'Штатное расписание'!V7)/1000</f>
        <v>794.7333400000001</v>
      </c>
      <c r="GM13" s="53">
        <f>('Штатное расписание'!V4+'Штатное расписание'!V5+'Штатное расписание'!V6+'Штатное расписание'!V7)/1000</f>
        <v>794.7333400000001</v>
      </c>
      <c r="GN13" s="53">
        <f>('Штатное расписание'!V4+'Штатное расписание'!V5+'Штатное расписание'!V6+'Штатное расписание'!V7)/1000</f>
        <v>794.7333400000001</v>
      </c>
      <c r="GO13" s="93">
        <f t="shared" si="16"/>
        <v>9536.80008</v>
      </c>
      <c r="GP13" s="53">
        <f>('Штатное расписание'!V4+'Штатное расписание'!V5+'Штатное расписание'!V6+'Штатное расписание'!V7)/1000</f>
        <v>794.7333400000001</v>
      </c>
      <c r="GQ13" s="53">
        <f>('Штатное расписание'!V4+'Штатное расписание'!V5+'Штатное расписание'!V6+'Штатное расписание'!V7)/1000</f>
        <v>794.7333400000001</v>
      </c>
      <c r="GR13" s="53">
        <f>('Штатное расписание'!V4+'Штатное расписание'!V5+'Штатное расписание'!V6+'Штатное расписание'!V7)/1000</f>
        <v>794.7333400000001</v>
      </c>
      <c r="GS13" s="53">
        <f>('Штатное расписание'!V4+'Штатное расписание'!V5+'Штатное расписание'!V6+'Штатное расписание'!V7)/1000</f>
        <v>794.7333400000001</v>
      </c>
      <c r="GT13" s="53">
        <f>('Штатное расписание'!V4+'Штатное расписание'!V5+'Штатное расписание'!V6+'Штатное расписание'!V7)/1000</f>
        <v>794.7333400000001</v>
      </c>
      <c r="GU13" s="53">
        <f>('Штатное расписание'!V4+'Штатное расписание'!V5+'Штатное расписание'!V6+'Штатное расписание'!V7)/1000</f>
        <v>794.7333400000001</v>
      </c>
      <c r="GV13" s="53">
        <f>('Штатное расписание'!V4+'Штатное расписание'!V5+'Штатное расписание'!V6+'Штатное расписание'!V7)/1000</f>
        <v>794.7333400000001</v>
      </c>
      <c r="GW13" s="53">
        <f>('Штатное расписание'!V4+'Штатное расписание'!V5+'Штатное расписание'!V6+'Штатное расписание'!V7)/1000</f>
        <v>794.7333400000001</v>
      </c>
      <c r="GX13" s="53">
        <f>('Штатное расписание'!V4+'Штатное расписание'!V5+'Штатное расписание'!V6+'Штатное расписание'!V7)/1000</f>
        <v>794.7333400000001</v>
      </c>
      <c r="GY13" s="53">
        <f>('Штатное расписание'!V4+'Штатное расписание'!V5+'Штатное расписание'!V6+'Штатное расписание'!V7)/1000</f>
        <v>794.7333400000001</v>
      </c>
      <c r="GZ13" s="53">
        <f>('Штатное расписание'!V4+'Штатное расписание'!V5+'Штатное расписание'!V6+'Штатное расписание'!V7)/1000</f>
        <v>794.7333400000001</v>
      </c>
      <c r="HA13" s="53">
        <f>('Штатное расписание'!V4+'Штатное расписание'!V5+'Штатное расписание'!V6+'Штатное расписание'!V7)/1000</f>
        <v>794.7333400000001</v>
      </c>
      <c r="HB13" s="93">
        <f t="shared" si="18"/>
        <v>9536.80008</v>
      </c>
      <c r="HC13" s="49">
        <f t="shared" si="19"/>
        <v>138945.94768</v>
      </c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9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9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93"/>
      <c r="IP13" s="53"/>
      <c r="IQ13" s="53"/>
      <c r="IR13" s="53"/>
      <c r="IS13" s="53"/>
      <c r="IT13" s="53"/>
      <c r="IU13" s="53"/>
      <c r="IV13" s="53"/>
    </row>
    <row r="14" spans="2:256" ht="14.25" outlineLevel="3">
      <c r="B14" s="98" t="s">
        <v>444</v>
      </c>
      <c r="C14" s="53"/>
      <c r="D14" s="53"/>
      <c r="E14" s="53"/>
      <c r="F14" s="53"/>
      <c r="G14" s="53"/>
      <c r="H14" s="53"/>
      <c r="I14" s="53"/>
      <c r="J14" s="53"/>
      <c r="K14" s="53">
        <v>15</v>
      </c>
      <c r="L14" s="53">
        <v>15</v>
      </c>
      <c r="M14" s="53">
        <v>15</v>
      </c>
      <c r="N14" s="53">
        <v>15</v>
      </c>
      <c r="O14" s="93">
        <f t="shared" si="20"/>
        <v>60</v>
      </c>
      <c r="P14" s="53">
        <v>15</v>
      </c>
      <c r="Q14" s="53">
        <v>15</v>
      </c>
      <c r="R14" s="53">
        <v>15</v>
      </c>
      <c r="S14" s="53">
        <v>15</v>
      </c>
      <c r="T14" s="53">
        <v>15</v>
      </c>
      <c r="U14" s="53">
        <v>15</v>
      </c>
      <c r="V14" s="53">
        <v>15</v>
      </c>
      <c r="W14" s="53">
        <v>15</v>
      </c>
      <c r="X14" s="53">
        <v>15</v>
      </c>
      <c r="Y14" s="53">
        <v>15</v>
      </c>
      <c r="Z14" s="53">
        <v>15</v>
      </c>
      <c r="AA14" s="53">
        <v>15</v>
      </c>
      <c r="AB14" s="93">
        <f t="shared" si="22"/>
        <v>180</v>
      </c>
      <c r="AC14" s="53">
        <v>15</v>
      </c>
      <c r="AD14" s="53">
        <v>15</v>
      </c>
      <c r="AE14" s="53">
        <v>15</v>
      </c>
      <c r="AF14" s="53">
        <v>15</v>
      </c>
      <c r="AG14" s="53">
        <v>15</v>
      </c>
      <c r="AH14" s="53">
        <v>15</v>
      </c>
      <c r="AI14" s="53">
        <v>15</v>
      </c>
      <c r="AJ14" s="53">
        <v>15</v>
      </c>
      <c r="AK14" s="53">
        <v>15</v>
      </c>
      <c r="AL14" s="53">
        <v>15</v>
      </c>
      <c r="AM14" s="53">
        <v>15</v>
      </c>
      <c r="AN14" s="53">
        <v>15</v>
      </c>
      <c r="AO14" s="93">
        <f t="shared" si="0"/>
        <v>180</v>
      </c>
      <c r="AP14" s="53">
        <v>15</v>
      </c>
      <c r="AQ14" s="53">
        <v>15</v>
      </c>
      <c r="AR14" s="53">
        <v>15</v>
      </c>
      <c r="AS14" s="53">
        <v>15</v>
      </c>
      <c r="AT14" s="53">
        <v>15</v>
      </c>
      <c r="AU14" s="53">
        <v>15</v>
      </c>
      <c r="AV14" s="53">
        <v>15</v>
      </c>
      <c r="AW14" s="53">
        <v>15</v>
      </c>
      <c r="AX14" s="53">
        <v>15</v>
      </c>
      <c r="AY14" s="53">
        <v>15</v>
      </c>
      <c r="AZ14" s="53">
        <v>15</v>
      </c>
      <c r="BA14" s="53">
        <v>15</v>
      </c>
      <c r="BB14" s="93">
        <f t="shared" si="2"/>
        <v>180</v>
      </c>
      <c r="BC14" s="53">
        <v>15</v>
      </c>
      <c r="BD14" s="53">
        <v>15</v>
      </c>
      <c r="BE14" s="53">
        <v>15</v>
      </c>
      <c r="BF14" s="53">
        <v>15</v>
      </c>
      <c r="BG14" s="53">
        <v>15</v>
      </c>
      <c r="BH14" s="53">
        <v>15</v>
      </c>
      <c r="BI14" s="53">
        <v>15</v>
      </c>
      <c r="BJ14" s="53">
        <v>15</v>
      </c>
      <c r="BK14" s="53">
        <v>15</v>
      </c>
      <c r="BL14" s="53">
        <v>15</v>
      </c>
      <c r="BM14" s="53">
        <v>15</v>
      </c>
      <c r="BN14" s="53">
        <v>15</v>
      </c>
      <c r="BO14" s="93">
        <f t="shared" si="4"/>
        <v>180</v>
      </c>
      <c r="BP14" s="53">
        <v>15</v>
      </c>
      <c r="BQ14" s="53">
        <v>15</v>
      </c>
      <c r="BR14" s="53">
        <v>15</v>
      </c>
      <c r="BS14" s="53">
        <v>15</v>
      </c>
      <c r="BT14" s="53">
        <v>15</v>
      </c>
      <c r="BU14" s="53">
        <v>15</v>
      </c>
      <c r="BV14" s="53">
        <v>15</v>
      </c>
      <c r="BW14" s="53">
        <v>15</v>
      </c>
      <c r="BX14" s="53">
        <v>15</v>
      </c>
      <c r="BY14" s="53">
        <v>15</v>
      </c>
      <c r="BZ14" s="53">
        <v>15</v>
      </c>
      <c r="CA14" s="53">
        <v>15</v>
      </c>
      <c r="CB14" s="93">
        <f t="shared" si="5"/>
        <v>180</v>
      </c>
      <c r="CC14" s="53">
        <v>15</v>
      </c>
      <c r="CD14" s="53">
        <v>15</v>
      </c>
      <c r="CE14" s="53">
        <v>15</v>
      </c>
      <c r="CF14" s="53">
        <v>15</v>
      </c>
      <c r="CG14" s="53">
        <v>15</v>
      </c>
      <c r="CH14" s="53">
        <v>15</v>
      </c>
      <c r="CI14" s="53">
        <v>15</v>
      </c>
      <c r="CJ14" s="53">
        <v>15</v>
      </c>
      <c r="CK14" s="53">
        <v>15</v>
      </c>
      <c r="CL14" s="53">
        <v>15</v>
      </c>
      <c r="CM14" s="53">
        <v>15</v>
      </c>
      <c r="CN14" s="53">
        <v>15</v>
      </c>
      <c r="CO14" s="93">
        <f t="shared" si="6"/>
        <v>180</v>
      </c>
      <c r="CP14" s="53">
        <v>15</v>
      </c>
      <c r="CQ14" s="53">
        <v>15</v>
      </c>
      <c r="CR14" s="53">
        <v>15</v>
      </c>
      <c r="CS14" s="53">
        <v>15</v>
      </c>
      <c r="CT14" s="53">
        <v>15</v>
      </c>
      <c r="CU14" s="53">
        <v>15</v>
      </c>
      <c r="CV14" s="53">
        <v>15</v>
      </c>
      <c r="CW14" s="53">
        <v>15</v>
      </c>
      <c r="CX14" s="53">
        <v>15</v>
      </c>
      <c r="CY14" s="53">
        <v>15</v>
      </c>
      <c r="CZ14" s="53">
        <v>15</v>
      </c>
      <c r="DA14" s="53">
        <v>15</v>
      </c>
      <c r="DB14" s="93">
        <f t="shared" si="7"/>
        <v>180</v>
      </c>
      <c r="DC14" s="53">
        <v>15</v>
      </c>
      <c r="DD14" s="53">
        <v>15</v>
      </c>
      <c r="DE14" s="53">
        <v>15</v>
      </c>
      <c r="DF14" s="53">
        <v>15</v>
      </c>
      <c r="DG14" s="53">
        <v>15</v>
      </c>
      <c r="DH14" s="53">
        <v>15</v>
      </c>
      <c r="DI14" s="53">
        <v>15</v>
      </c>
      <c r="DJ14" s="53">
        <v>15</v>
      </c>
      <c r="DK14" s="53">
        <v>15</v>
      </c>
      <c r="DL14" s="53">
        <v>15</v>
      </c>
      <c r="DM14" s="53">
        <v>15</v>
      </c>
      <c r="DN14" s="53">
        <v>15</v>
      </c>
      <c r="DO14" s="93">
        <f t="shared" si="8"/>
        <v>180</v>
      </c>
      <c r="DP14" s="53">
        <v>15</v>
      </c>
      <c r="DQ14" s="53">
        <v>15</v>
      </c>
      <c r="DR14" s="53">
        <v>15</v>
      </c>
      <c r="DS14" s="53">
        <v>15</v>
      </c>
      <c r="DT14" s="53">
        <v>15</v>
      </c>
      <c r="DU14" s="53">
        <v>15</v>
      </c>
      <c r="DV14" s="53">
        <v>15</v>
      </c>
      <c r="DW14" s="53">
        <v>15</v>
      </c>
      <c r="DX14" s="53">
        <v>15</v>
      </c>
      <c r="DY14" s="53">
        <v>15</v>
      </c>
      <c r="DZ14" s="53">
        <v>15</v>
      </c>
      <c r="EA14" s="53">
        <v>15</v>
      </c>
      <c r="EB14" s="93">
        <f t="shared" si="10"/>
        <v>180</v>
      </c>
      <c r="EC14" s="53">
        <v>15</v>
      </c>
      <c r="ED14" s="53">
        <v>15</v>
      </c>
      <c r="EE14" s="53">
        <v>15</v>
      </c>
      <c r="EF14" s="53">
        <v>15</v>
      </c>
      <c r="EG14" s="53">
        <v>15</v>
      </c>
      <c r="EH14" s="53">
        <v>15</v>
      </c>
      <c r="EI14" s="53">
        <v>15</v>
      </c>
      <c r="EJ14" s="53">
        <v>15</v>
      </c>
      <c r="EK14" s="53">
        <v>15</v>
      </c>
      <c r="EL14" s="53">
        <v>15</v>
      </c>
      <c r="EM14" s="53">
        <v>15</v>
      </c>
      <c r="EN14" s="53">
        <v>15</v>
      </c>
      <c r="EO14" s="93">
        <f t="shared" si="12"/>
        <v>180</v>
      </c>
      <c r="EP14" s="53">
        <v>15</v>
      </c>
      <c r="EQ14" s="53">
        <v>15</v>
      </c>
      <c r="ER14" s="53">
        <v>15</v>
      </c>
      <c r="ES14" s="53">
        <v>15</v>
      </c>
      <c r="ET14" s="53">
        <v>15</v>
      </c>
      <c r="EU14" s="53">
        <v>15</v>
      </c>
      <c r="EV14" s="53">
        <v>15</v>
      </c>
      <c r="EW14" s="53">
        <v>15</v>
      </c>
      <c r="EX14" s="53">
        <v>15</v>
      </c>
      <c r="EY14" s="53">
        <v>15</v>
      </c>
      <c r="EZ14" s="53">
        <v>15</v>
      </c>
      <c r="FA14" s="53">
        <v>15</v>
      </c>
      <c r="FB14" s="93">
        <f t="shared" si="13"/>
        <v>180</v>
      </c>
      <c r="FC14" s="53">
        <v>15</v>
      </c>
      <c r="FD14" s="53">
        <v>15</v>
      </c>
      <c r="FE14" s="53">
        <v>15</v>
      </c>
      <c r="FF14" s="53">
        <v>15</v>
      </c>
      <c r="FG14" s="53">
        <v>15</v>
      </c>
      <c r="FH14" s="53">
        <v>15</v>
      </c>
      <c r="FI14" s="53">
        <v>15</v>
      </c>
      <c r="FJ14" s="53">
        <v>15</v>
      </c>
      <c r="FK14" s="53">
        <v>15</v>
      </c>
      <c r="FL14" s="53">
        <v>15</v>
      </c>
      <c r="FM14" s="53">
        <v>15</v>
      </c>
      <c r="FN14" s="53">
        <v>15</v>
      </c>
      <c r="FO14" s="93">
        <f t="shared" si="14"/>
        <v>180</v>
      </c>
      <c r="FP14" s="53">
        <v>15</v>
      </c>
      <c r="FQ14" s="53">
        <v>15</v>
      </c>
      <c r="FR14" s="53">
        <v>15</v>
      </c>
      <c r="FS14" s="53">
        <v>15</v>
      </c>
      <c r="FT14" s="53">
        <v>15</v>
      </c>
      <c r="FU14" s="53">
        <v>15</v>
      </c>
      <c r="FV14" s="53">
        <v>15</v>
      </c>
      <c r="FW14" s="53">
        <v>15</v>
      </c>
      <c r="FX14" s="53">
        <v>15</v>
      </c>
      <c r="FY14" s="53">
        <v>15</v>
      </c>
      <c r="FZ14" s="53">
        <v>15</v>
      </c>
      <c r="GA14" s="53">
        <v>15</v>
      </c>
      <c r="GB14" s="93">
        <f t="shared" si="15"/>
        <v>180</v>
      </c>
      <c r="GC14" s="53">
        <v>15</v>
      </c>
      <c r="GD14" s="53">
        <v>15</v>
      </c>
      <c r="GE14" s="53">
        <v>15</v>
      </c>
      <c r="GF14" s="53">
        <v>15</v>
      </c>
      <c r="GG14" s="53">
        <v>15</v>
      </c>
      <c r="GH14" s="53">
        <v>15</v>
      </c>
      <c r="GI14" s="53">
        <v>15</v>
      </c>
      <c r="GJ14" s="53">
        <v>15</v>
      </c>
      <c r="GK14" s="53">
        <v>15</v>
      </c>
      <c r="GL14" s="53">
        <v>15</v>
      </c>
      <c r="GM14" s="53">
        <v>15</v>
      </c>
      <c r="GN14" s="53">
        <v>15</v>
      </c>
      <c r="GO14" s="93">
        <f t="shared" si="16"/>
        <v>180</v>
      </c>
      <c r="GP14" s="53">
        <v>15</v>
      </c>
      <c r="GQ14" s="53">
        <v>15</v>
      </c>
      <c r="GR14" s="53">
        <v>15</v>
      </c>
      <c r="GS14" s="53">
        <v>15</v>
      </c>
      <c r="GT14" s="53">
        <v>15</v>
      </c>
      <c r="GU14" s="53">
        <v>15</v>
      </c>
      <c r="GV14" s="53">
        <v>15</v>
      </c>
      <c r="GW14" s="53">
        <v>15</v>
      </c>
      <c r="GX14" s="53">
        <v>15</v>
      </c>
      <c r="GY14" s="53">
        <v>15</v>
      </c>
      <c r="GZ14" s="53">
        <v>15</v>
      </c>
      <c r="HA14" s="53">
        <v>15</v>
      </c>
      <c r="HB14" s="93">
        <f t="shared" si="18"/>
        <v>180</v>
      </c>
      <c r="HC14" s="49">
        <f t="shared" si="19"/>
        <v>2760</v>
      </c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95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95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95"/>
      <c r="IP14" s="53"/>
      <c r="IQ14" s="53"/>
      <c r="IR14" s="53"/>
      <c r="IS14" s="53"/>
      <c r="IT14" s="53"/>
      <c r="IU14" s="53"/>
      <c r="IV14" s="53"/>
    </row>
    <row r="15" spans="2:256" ht="14.25" outlineLevel="3">
      <c r="B15" s="98" t="s">
        <v>382</v>
      </c>
      <c r="C15" s="53"/>
      <c r="D15" s="53"/>
      <c r="E15" s="53"/>
      <c r="F15" s="53"/>
      <c r="G15" s="53"/>
      <c r="H15" s="53"/>
      <c r="I15" s="53"/>
      <c r="J15" s="53"/>
      <c r="K15" s="53">
        <v>1.32</v>
      </c>
      <c r="L15" s="53">
        <v>1.32</v>
      </c>
      <c r="M15" s="53">
        <v>1.32</v>
      </c>
      <c r="N15" s="53">
        <v>1.32</v>
      </c>
      <c r="O15" s="93">
        <f t="shared" si="20"/>
        <v>5.28</v>
      </c>
      <c r="P15" s="53">
        <v>1.32</v>
      </c>
      <c r="Q15" s="53">
        <v>1.32</v>
      </c>
      <c r="R15" s="53">
        <v>1.32</v>
      </c>
      <c r="S15" s="53">
        <v>1.32</v>
      </c>
      <c r="T15" s="53">
        <v>1.32</v>
      </c>
      <c r="U15" s="53">
        <v>1.32</v>
      </c>
      <c r="V15" s="53">
        <v>1.32</v>
      </c>
      <c r="W15" s="53">
        <v>1.32</v>
      </c>
      <c r="X15" s="53">
        <v>3.3</v>
      </c>
      <c r="Y15" s="53">
        <v>3.3</v>
      </c>
      <c r="Z15" s="53">
        <v>3.3</v>
      </c>
      <c r="AA15" s="53">
        <v>3.3</v>
      </c>
      <c r="AB15" s="93">
        <f t="shared" si="22"/>
        <v>23.76</v>
      </c>
      <c r="AC15" s="53">
        <v>3.3</v>
      </c>
      <c r="AD15" s="53">
        <v>3.3</v>
      </c>
      <c r="AE15" s="53">
        <v>3.3</v>
      </c>
      <c r="AF15" s="53">
        <v>3.3</v>
      </c>
      <c r="AG15" s="53">
        <v>3.3</v>
      </c>
      <c r="AH15" s="53">
        <v>3.3</v>
      </c>
      <c r="AI15" s="53">
        <v>3.3</v>
      </c>
      <c r="AJ15" s="53">
        <v>3.3</v>
      </c>
      <c r="AK15" s="53">
        <v>3.3</v>
      </c>
      <c r="AL15" s="53">
        <v>3.3</v>
      </c>
      <c r="AM15" s="53">
        <v>3.3</v>
      </c>
      <c r="AN15" s="53">
        <v>3.3</v>
      </c>
      <c r="AO15" s="93">
        <f t="shared" si="0"/>
        <v>39.599999999999994</v>
      </c>
      <c r="AP15" s="53">
        <v>3.3</v>
      </c>
      <c r="AQ15" s="53">
        <v>3.3</v>
      </c>
      <c r="AR15" s="53">
        <v>3.3</v>
      </c>
      <c r="AS15" s="53">
        <v>3.3</v>
      </c>
      <c r="AT15" s="53">
        <v>3.3</v>
      </c>
      <c r="AU15" s="53">
        <v>3.3</v>
      </c>
      <c r="AV15" s="53">
        <v>3.3</v>
      </c>
      <c r="AW15" s="53">
        <v>3.3</v>
      </c>
      <c r="AX15" s="53">
        <v>3.3</v>
      </c>
      <c r="AY15" s="53">
        <v>3.3</v>
      </c>
      <c r="AZ15" s="53">
        <v>3.3</v>
      </c>
      <c r="BA15" s="53">
        <v>3.3</v>
      </c>
      <c r="BB15" s="93">
        <f t="shared" si="2"/>
        <v>39.599999999999994</v>
      </c>
      <c r="BC15" s="53">
        <v>3.3</v>
      </c>
      <c r="BD15" s="53">
        <v>3.3</v>
      </c>
      <c r="BE15" s="53">
        <v>3.3</v>
      </c>
      <c r="BF15" s="53">
        <v>3.3</v>
      </c>
      <c r="BG15" s="53">
        <v>3.3</v>
      </c>
      <c r="BH15" s="53">
        <v>3.3</v>
      </c>
      <c r="BI15" s="53">
        <v>3.3</v>
      </c>
      <c r="BJ15" s="53">
        <v>3.3</v>
      </c>
      <c r="BK15" s="53">
        <v>3.3</v>
      </c>
      <c r="BL15" s="53">
        <v>3.3</v>
      </c>
      <c r="BM15" s="53">
        <v>3.3</v>
      </c>
      <c r="BN15" s="53">
        <v>3.3</v>
      </c>
      <c r="BO15" s="93">
        <f t="shared" si="4"/>
        <v>39.599999999999994</v>
      </c>
      <c r="BP15" s="53">
        <v>3.3</v>
      </c>
      <c r="BQ15" s="53">
        <v>3.3</v>
      </c>
      <c r="BR15" s="53">
        <v>3.3</v>
      </c>
      <c r="BS15" s="53">
        <v>3.3</v>
      </c>
      <c r="BT15" s="53">
        <v>3.3</v>
      </c>
      <c r="BU15" s="53">
        <v>3.3</v>
      </c>
      <c r="BV15" s="53">
        <v>3.3</v>
      </c>
      <c r="BW15" s="53">
        <v>3.3</v>
      </c>
      <c r="BX15" s="53">
        <v>3.3</v>
      </c>
      <c r="BY15" s="53">
        <v>3.3</v>
      </c>
      <c r="BZ15" s="53">
        <v>3.3</v>
      </c>
      <c r="CA15" s="53">
        <v>3.3</v>
      </c>
      <c r="CB15" s="93">
        <f t="shared" si="5"/>
        <v>39.599999999999994</v>
      </c>
      <c r="CC15" s="53">
        <v>3.3</v>
      </c>
      <c r="CD15" s="53">
        <v>3.3</v>
      </c>
      <c r="CE15" s="53">
        <v>3.3</v>
      </c>
      <c r="CF15" s="53">
        <v>3.3</v>
      </c>
      <c r="CG15" s="53">
        <v>3.3</v>
      </c>
      <c r="CH15" s="53">
        <v>3.3</v>
      </c>
      <c r="CI15" s="53">
        <v>3.3</v>
      </c>
      <c r="CJ15" s="53">
        <v>3.3</v>
      </c>
      <c r="CK15" s="53">
        <v>3.3</v>
      </c>
      <c r="CL15" s="53">
        <v>3.3</v>
      </c>
      <c r="CM15" s="53">
        <v>3.3</v>
      </c>
      <c r="CN15" s="53">
        <v>3.3</v>
      </c>
      <c r="CO15" s="93">
        <f t="shared" si="6"/>
        <v>39.599999999999994</v>
      </c>
      <c r="CP15" s="53">
        <v>3.3</v>
      </c>
      <c r="CQ15" s="53">
        <v>3.3</v>
      </c>
      <c r="CR15" s="53">
        <v>3.3</v>
      </c>
      <c r="CS15" s="53">
        <v>3.3</v>
      </c>
      <c r="CT15" s="53">
        <v>3.3</v>
      </c>
      <c r="CU15" s="53">
        <v>3.3</v>
      </c>
      <c r="CV15" s="53">
        <v>3.3</v>
      </c>
      <c r="CW15" s="53">
        <v>3.3</v>
      </c>
      <c r="CX15" s="53">
        <v>3.3</v>
      </c>
      <c r="CY15" s="53">
        <v>3.3</v>
      </c>
      <c r="CZ15" s="53">
        <v>3.3</v>
      </c>
      <c r="DA15" s="53">
        <v>3.3</v>
      </c>
      <c r="DB15" s="93">
        <f t="shared" si="7"/>
        <v>39.599999999999994</v>
      </c>
      <c r="DC15" s="53">
        <v>3.3</v>
      </c>
      <c r="DD15" s="53">
        <v>3.3</v>
      </c>
      <c r="DE15" s="53">
        <v>3.3</v>
      </c>
      <c r="DF15" s="53">
        <v>3.3</v>
      </c>
      <c r="DG15" s="53">
        <v>3.3</v>
      </c>
      <c r="DH15" s="53">
        <v>3.3</v>
      </c>
      <c r="DI15" s="53">
        <v>3.3</v>
      </c>
      <c r="DJ15" s="53">
        <v>3.3</v>
      </c>
      <c r="DK15" s="53">
        <v>3.3</v>
      </c>
      <c r="DL15" s="53">
        <v>3.3</v>
      </c>
      <c r="DM15" s="53">
        <v>3.3</v>
      </c>
      <c r="DN15" s="53">
        <v>3.3</v>
      </c>
      <c r="DO15" s="93">
        <f t="shared" si="8"/>
        <v>39.599999999999994</v>
      </c>
      <c r="DP15" s="53">
        <v>3.3</v>
      </c>
      <c r="DQ15" s="53">
        <v>3.3</v>
      </c>
      <c r="DR15" s="53">
        <v>3.3</v>
      </c>
      <c r="DS15" s="53">
        <v>3.3</v>
      </c>
      <c r="DT15" s="53">
        <v>3.3</v>
      </c>
      <c r="DU15" s="53">
        <v>3.3</v>
      </c>
      <c r="DV15" s="53">
        <v>3.3</v>
      </c>
      <c r="DW15" s="53">
        <v>3.3</v>
      </c>
      <c r="DX15" s="53">
        <v>3.3</v>
      </c>
      <c r="DY15" s="53">
        <v>3.3</v>
      </c>
      <c r="DZ15" s="53">
        <v>3.3</v>
      </c>
      <c r="EA15" s="53">
        <v>3.3</v>
      </c>
      <c r="EB15" s="93">
        <f t="shared" si="10"/>
        <v>39.599999999999994</v>
      </c>
      <c r="EC15" s="53">
        <v>3.3</v>
      </c>
      <c r="ED15" s="53">
        <v>3.3</v>
      </c>
      <c r="EE15" s="53">
        <v>3.3</v>
      </c>
      <c r="EF15" s="53">
        <v>3.3</v>
      </c>
      <c r="EG15" s="53">
        <v>3.3</v>
      </c>
      <c r="EH15" s="53">
        <v>3.3</v>
      </c>
      <c r="EI15" s="53">
        <v>3.3</v>
      </c>
      <c r="EJ15" s="53">
        <v>3.3</v>
      </c>
      <c r="EK15" s="53">
        <v>3.3</v>
      </c>
      <c r="EL15" s="53">
        <v>3.3</v>
      </c>
      <c r="EM15" s="53">
        <v>3.3</v>
      </c>
      <c r="EN15" s="53">
        <v>3.3</v>
      </c>
      <c r="EO15" s="93">
        <f t="shared" si="12"/>
        <v>39.599999999999994</v>
      </c>
      <c r="EP15" s="53">
        <v>3.3</v>
      </c>
      <c r="EQ15" s="53">
        <v>3.3</v>
      </c>
      <c r="ER15" s="53">
        <v>3.3</v>
      </c>
      <c r="ES15" s="53">
        <v>3.3</v>
      </c>
      <c r="ET15" s="53">
        <v>3.3</v>
      </c>
      <c r="EU15" s="53">
        <v>3.3</v>
      </c>
      <c r="EV15" s="53">
        <v>3.3</v>
      </c>
      <c r="EW15" s="53">
        <v>3.3</v>
      </c>
      <c r="EX15" s="53">
        <v>3.3</v>
      </c>
      <c r="EY15" s="53">
        <v>3.3</v>
      </c>
      <c r="EZ15" s="53">
        <v>3.3</v>
      </c>
      <c r="FA15" s="53">
        <v>3.3</v>
      </c>
      <c r="FB15" s="93">
        <f t="shared" si="13"/>
        <v>39.599999999999994</v>
      </c>
      <c r="FC15" s="53">
        <v>3.3</v>
      </c>
      <c r="FD15" s="53">
        <v>3.3</v>
      </c>
      <c r="FE15" s="53">
        <v>3.3</v>
      </c>
      <c r="FF15" s="53">
        <v>3.3</v>
      </c>
      <c r="FG15" s="53">
        <v>3.3</v>
      </c>
      <c r="FH15" s="53">
        <v>3.3</v>
      </c>
      <c r="FI15" s="53">
        <v>3.3</v>
      </c>
      <c r="FJ15" s="53">
        <v>3.3</v>
      </c>
      <c r="FK15" s="53">
        <v>3.3</v>
      </c>
      <c r="FL15" s="53">
        <v>3.3</v>
      </c>
      <c r="FM15" s="53">
        <v>3.3</v>
      </c>
      <c r="FN15" s="53">
        <v>3.3</v>
      </c>
      <c r="FO15" s="93">
        <f t="shared" si="14"/>
        <v>39.599999999999994</v>
      </c>
      <c r="FP15" s="53">
        <v>3.3</v>
      </c>
      <c r="FQ15" s="53">
        <v>3.3</v>
      </c>
      <c r="FR15" s="53">
        <v>3.3</v>
      </c>
      <c r="FS15" s="53">
        <v>3.3</v>
      </c>
      <c r="FT15" s="53">
        <v>3.3</v>
      </c>
      <c r="FU15" s="53">
        <v>3.3</v>
      </c>
      <c r="FV15" s="53">
        <v>3.3</v>
      </c>
      <c r="FW15" s="53">
        <v>3.3</v>
      </c>
      <c r="FX15" s="53">
        <v>3.3</v>
      </c>
      <c r="FY15" s="53">
        <v>3.3</v>
      </c>
      <c r="FZ15" s="53">
        <v>3.3</v>
      </c>
      <c r="GA15" s="53">
        <v>3.3</v>
      </c>
      <c r="GB15" s="93">
        <f t="shared" si="15"/>
        <v>39.599999999999994</v>
      </c>
      <c r="GC15" s="53">
        <v>3.3</v>
      </c>
      <c r="GD15" s="53">
        <v>3.3</v>
      </c>
      <c r="GE15" s="53">
        <v>3.3</v>
      </c>
      <c r="GF15" s="53">
        <v>3.3</v>
      </c>
      <c r="GG15" s="53">
        <v>3.3</v>
      </c>
      <c r="GH15" s="53">
        <v>3.3</v>
      </c>
      <c r="GI15" s="53">
        <v>3.3</v>
      </c>
      <c r="GJ15" s="53">
        <v>3.3</v>
      </c>
      <c r="GK15" s="53">
        <v>3.3</v>
      </c>
      <c r="GL15" s="53">
        <v>3.3</v>
      </c>
      <c r="GM15" s="53">
        <v>3.3</v>
      </c>
      <c r="GN15" s="53">
        <v>3.3</v>
      </c>
      <c r="GO15" s="93">
        <f t="shared" si="16"/>
        <v>39.599999999999994</v>
      </c>
      <c r="GP15" s="53">
        <v>3.3</v>
      </c>
      <c r="GQ15" s="53">
        <v>3.3</v>
      </c>
      <c r="GR15" s="53">
        <v>3.3</v>
      </c>
      <c r="GS15" s="53">
        <v>3.3</v>
      </c>
      <c r="GT15" s="53">
        <v>3.3</v>
      </c>
      <c r="GU15" s="53">
        <v>3.3</v>
      </c>
      <c r="GV15" s="53">
        <v>3.3</v>
      </c>
      <c r="GW15" s="53">
        <v>3.3</v>
      </c>
      <c r="GX15" s="53">
        <v>3.3</v>
      </c>
      <c r="GY15" s="53">
        <v>3.3</v>
      </c>
      <c r="GZ15" s="53">
        <v>3.3</v>
      </c>
      <c r="HA15" s="53">
        <v>3.3</v>
      </c>
      <c r="HB15" s="93">
        <f t="shared" si="18"/>
        <v>39.599999999999994</v>
      </c>
      <c r="HC15" s="49">
        <f t="shared" si="19"/>
        <v>583.44</v>
      </c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9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9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93"/>
      <c r="IP15" s="53"/>
      <c r="IQ15" s="53"/>
      <c r="IR15" s="53"/>
      <c r="IS15" s="53"/>
      <c r="IT15" s="53"/>
      <c r="IU15" s="53"/>
      <c r="IV15" s="53"/>
    </row>
    <row r="16" spans="2:256" ht="14.25" outlineLevel="2">
      <c r="B16" s="55" t="s">
        <v>383</v>
      </c>
      <c r="C16" s="53"/>
      <c r="D16" s="53"/>
      <c r="E16" s="53"/>
      <c r="F16" s="53"/>
      <c r="G16" s="53"/>
      <c r="H16" s="53"/>
      <c r="I16" s="53"/>
      <c r="J16" s="53"/>
      <c r="K16" s="53">
        <v>0.55</v>
      </c>
      <c r="L16" s="53">
        <v>0.55</v>
      </c>
      <c r="M16" s="53">
        <v>0.55</v>
      </c>
      <c r="N16" s="53">
        <v>0.55</v>
      </c>
      <c r="O16" s="93">
        <f t="shared" si="20"/>
        <v>2.2</v>
      </c>
      <c r="P16" s="53">
        <v>0.55</v>
      </c>
      <c r="Q16" s="53">
        <v>0.55</v>
      </c>
      <c r="R16" s="53">
        <v>0.55</v>
      </c>
      <c r="S16" s="53">
        <v>0.55</v>
      </c>
      <c r="T16" s="53">
        <v>0.55</v>
      </c>
      <c r="U16" s="53">
        <v>0.55</v>
      </c>
      <c r="V16" s="53">
        <v>0.55</v>
      </c>
      <c r="W16" s="53">
        <v>0.55</v>
      </c>
      <c r="X16" s="53">
        <v>1.65</v>
      </c>
      <c r="Y16" s="53">
        <v>1.65</v>
      </c>
      <c r="Z16" s="53">
        <v>1.65</v>
      </c>
      <c r="AA16" s="53">
        <v>1.65</v>
      </c>
      <c r="AB16" s="93">
        <f t="shared" si="22"/>
        <v>11.000000000000004</v>
      </c>
      <c r="AC16" s="53">
        <v>1.65</v>
      </c>
      <c r="AD16" s="53">
        <v>1.65</v>
      </c>
      <c r="AE16" s="53">
        <v>1.65</v>
      </c>
      <c r="AF16" s="53">
        <v>1.65</v>
      </c>
      <c r="AG16" s="53">
        <v>1.65</v>
      </c>
      <c r="AH16" s="53">
        <v>1.65</v>
      </c>
      <c r="AI16" s="53">
        <v>1.65</v>
      </c>
      <c r="AJ16" s="53">
        <v>1.65</v>
      </c>
      <c r="AK16" s="53">
        <v>2.2</v>
      </c>
      <c r="AL16" s="53">
        <v>2.2</v>
      </c>
      <c r="AM16" s="53">
        <v>2.2</v>
      </c>
      <c r="AN16" s="53">
        <v>2.2</v>
      </c>
      <c r="AO16" s="93">
        <f t="shared" si="0"/>
        <v>21.999999999999996</v>
      </c>
      <c r="AP16" s="53">
        <v>2.2</v>
      </c>
      <c r="AQ16" s="53">
        <v>2.2</v>
      </c>
      <c r="AR16" s="53">
        <v>2.2</v>
      </c>
      <c r="AS16" s="53">
        <v>2.2</v>
      </c>
      <c r="AT16" s="53">
        <v>2.2</v>
      </c>
      <c r="AU16" s="53">
        <v>2.2</v>
      </c>
      <c r="AV16" s="53">
        <v>2.2</v>
      </c>
      <c r="AW16" s="53">
        <v>2.2</v>
      </c>
      <c r="AX16" s="53">
        <v>2.2</v>
      </c>
      <c r="AY16" s="53">
        <v>2.2</v>
      </c>
      <c r="AZ16" s="53">
        <v>2.2</v>
      </c>
      <c r="BA16" s="53">
        <v>2.2</v>
      </c>
      <c r="BB16" s="93">
        <f t="shared" si="2"/>
        <v>26.399999999999995</v>
      </c>
      <c r="BC16" s="53">
        <v>2.2</v>
      </c>
      <c r="BD16" s="53">
        <v>2.2</v>
      </c>
      <c r="BE16" s="53">
        <v>2.2</v>
      </c>
      <c r="BF16" s="53">
        <v>2.2</v>
      </c>
      <c r="BG16" s="53">
        <v>2.2</v>
      </c>
      <c r="BH16" s="53">
        <v>2.2</v>
      </c>
      <c r="BI16" s="53">
        <v>2.2</v>
      </c>
      <c r="BJ16" s="53">
        <v>2.2</v>
      </c>
      <c r="BK16" s="53">
        <v>2.2</v>
      </c>
      <c r="BL16" s="53">
        <v>2.2</v>
      </c>
      <c r="BM16" s="53">
        <v>2.2</v>
      </c>
      <c r="BN16" s="53">
        <v>2.2</v>
      </c>
      <c r="BO16" s="93">
        <f t="shared" si="4"/>
        <v>26.399999999999995</v>
      </c>
      <c r="BP16" s="53">
        <v>2.2</v>
      </c>
      <c r="BQ16" s="53">
        <v>2.2</v>
      </c>
      <c r="BR16" s="53">
        <v>2.2</v>
      </c>
      <c r="BS16" s="53">
        <v>2.2</v>
      </c>
      <c r="BT16" s="53">
        <v>2.2</v>
      </c>
      <c r="BU16" s="53">
        <v>2.2</v>
      </c>
      <c r="BV16" s="53">
        <v>2.2</v>
      </c>
      <c r="BW16" s="53">
        <v>2.2</v>
      </c>
      <c r="BX16" s="53">
        <v>2.2</v>
      </c>
      <c r="BY16" s="53">
        <v>2.2</v>
      </c>
      <c r="BZ16" s="53">
        <v>2.2</v>
      </c>
      <c r="CA16" s="53">
        <v>2.2</v>
      </c>
      <c r="CB16" s="93">
        <f t="shared" si="5"/>
        <v>26.399999999999995</v>
      </c>
      <c r="CC16" s="53">
        <v>2.2</v>
      </c>
      <c r="CD16" s="53">
        <v>2.2</v>
      </c>
      <c r="CE16" s="53">
        <v>2.2</v>
      </c>
      <c r="CF16" s="53">
        <v>2.2</v>
      </c>
      <c r="CG16" s="53">
        <v>2.2</v>
      </c>
      <c r="CH16" s="53">
        <v>2.2</v>
      </c>
      <c r="CI16" s="53">
        <v>2.2</v>
      </c>
      <c r="CJ16" s="53">
        <v>2.2</v>
      </c>
      <c r="CK16" s="53">
        <v>2.2</v>
      </c>
      <c r="CL16" s="53">
        <v>2.2</v>
      </c>
      <c r="CM16" s="53">
        <v>2.2</v>
      </c>
      <c r="CN16" s="53">
        <v>2.2</v>
      </c>
      <c r="CO16" s="93">
        <f t="shared" si="6"/>
        <v>26.399999999999995</v>
      </c>
      <c r="CP16" s="53">
        <v>2.2</v>
      </c>
      <c r="CQ16" s="53">
        <v>2.2</v>
      </c>
      <c r="CR16" s="53">
        <v>2.2</v>
      </c>
      <c r="CS16" s="53">
        <v>2.2</v>
      </c>
      <c r="CT16" s="53">
        <v>2.2</v>
      </c>
      <c r="CU16" s="53">
        <v>2.2</v>
      </c>
      <c r="CV16" s="53">
        <v>2.2</v>
      </c>
      <c r="CW16" s="53">
        <v>2.2</v>
      </c>
      <c r="CX16" s="53">
        <v>2.2</v>
      </c>
      <c r="CY16" s="53">
        <v>2.2</v>
      </c>
      <c r="CZ16" s="53">
        <v>2.2</v>
      </c>
      <c r="DA16" s="53">
        <v>2.2</v>
      </c>
      <c r="DB16" s="93">
        <f t="shared" si="7"/>
        <v>26.399999999999995</v>
      </c>
      <c r="DC16" s="53">
        <v>2.2</v>
      </c>
      <c r="DD16" s="53">
        <v>2.2</v>
      </c>
      <c r="DE16" s="53">
        <v>2.2</v>
      </c>
      <c r="DF16" s="53">
        <v>2.2</v>
      </c>
      <c r="DG16" s="53">
        <v>2.2</v>
      </c>
      <c r="DH16" s="53">
        <v>2.2</v>
      </c>
      <c r="DI16" s="53">
        <v>2.2</v>
      </c>
      <c r="DJ16" s="53">
        <v>2.2</v>
      </c>
      <c r="DK16" s="53">
        <v>2.2</v>
      </c>
      <c r="DL16" s="53">
        <v>2.2</v>
      </c>
      <c r="DM16" s="53">
        <v>2.2</v>
      </c>
      <c r="DN16" s="53">
        <v>2.2</v>
      </c>
      <c r="DO16" s="93">
        <f t="shared" si="8"/>
        <v>26.399999999999995</v>
      </c>
      <c r="DP16" s="53">
        <v>2.2</v>
      </c>
      <c r="DQ16" s="53">
        <v>2.2</v>
      </c>
      <c r="DR16" s="53">
        <v>2.2</v>
      </c>
      <c r="DS16" s="53">
        <v>2.2</v>
      </c>
      <c r="DT16" s="53">
        <v>2.2</v>
      </c>
      <c r="DU16" s="53">
        <v>2.2</v>
      </c>
      <c r="DV16" s="53">
        <v>2.2</v>
      </c>
      <c r="DW16" s="53">
        <v>2.2</v>
      </c>
      <c r="DX16" s="53">
        <v>2.2</v>
      </c>
      <c r="DY16" s="53">
        <v>2.2</v>
      </c>
      <c r="DZ16" s="53">
        <v>2.2</v>
      </c>
      <c r="EA16" s="53">
        <v>2.2</v>
      </c>
      <c r="EB16" s="93">
        <f t="shared" si="10"/>
        <v>26.399999999999995</v>
      </c>
      <c r="EC16" s="53">
        <v>2.2</v>
      </c>
      <c r="ED16" s="53">
        <v>2.2</v>
      </c>
      <c r="EE16" s="53">
        <v>2.2</v>
      </c>
      <c r="EF16" s="53">
        <v>2.2</v>
      </c>
      <c r="EG16" s="53">
        <v>2.2</v>
      </c>
      <c r="EH16" s="53">
        <v>2.2</v>
      </c>
      <c r="EI16" s="53">
        <v>2.2</v>
      </c>
      <c r="EJ16" s="53">
        <v>2.2</v>
      </c>
      <c r="EK16" s="53">
        <v>2.2</v>
      </c>
      <c r="EL16" s="53">
        <v>2.2</v>
      </c>
      <c r="EM16" s="53">
        <v>2.2</v>
      </c>
      <c r="EN16" s="53">
        <v>2.2</v>
      </c>
      <c r="EO16" s="93">
        <f t="shared" si="12"/>
        <v>26.399999999999995</v>
      </c>
      <c r="EP16" s="53">
        <v>2.2</v>
      </c>
      <c r="EQ16" s="53">
        <v>2.2</v>
      </c>
      <c r="ER16" s="53">
        <v>2.2</v>
      </c>
      <c r="ES16" s="53">
        <v>2.2</v>
      </c>
      <c r="ET16" s="53">
        <v>2.2</v>
      </c>
      <c r="EU16" s="53">
        <v>2.2</v>
      </c>
      <c r="EV16" s="53">
        <v>2.2</v>
      </c>
      <c r="EW16" s="53">
        <v>2.2</v>
      </c>
      <c r="EX16" s="53">
        <v>2.2</v>
      </c>
      <c r="EY16" s="53">
        <v>2.2</v>
      </c>
      <c r="EZ16" s="53">
        <v>2.2</v>
      </c>
      <c r="FA16" s="53">
        <v>2.2</v>
      </c>
      <c r="FB16" s="93">
        <f t="shared" si="13"/>
        <v>26.399999999999995</v>
      </c>
      <c r="FC16" s="53">
        <v>2.2</v>
      </c>
      <c r="FD16" s="53">
        <v>2.2</v>
      </c>
      <c r="FE16" s="53">
        <v>2.2</v>
      </c>
      <c r="FF16" s="53">
        <v>2.2</v>
      </c>
      <c r="FG16" s="53">
        <v>2.2</v>
      </c>
      <c r="FH16" s="53">
        <v>2.2</v>
      </c>
      <c r="FI16" s="53">
        <v>2.2</v>
      </c>
      <c r="FJ16" s="53">
        <v>2.2</v>
      </c>
      <c r="FK16" s="53">
        <v>2.2</v>
      </c>
      <c r="FL16" s="53">
        <v>2.2</v>
      </c>
      <c r="FM16" s="53">
        <v>2.2</v>
      </c>
      <c r="FN16" s="53">
        <v>2.2</v>
      </c>
      <c r="FO16" s="93">
        <f t="shared" si="14"/>
        <v>26.399999999999995</v>
      </c>
      <c r="FP16" s="53">
        <v>2.2</v>
      </c>
      <c r="FQ16" s="53">
        <v>2.2</v>
      </c>
      <c r="FR16" s="53">
        <v>2.2</v>
      </c>
      <c r="FS16" s="53">
        <v>2.2</v>
      </c>
      <c r="FT16" s="53">
        <v>2.2</v>
      </c>
      <c r="FU16" s="53">
        <v>2.2</v>
      </c>
      <c r="FV16" s="53">
        <v>2.2</v>
      </c>
      <c r="FW16" s="53">
        <v>2.2</v>
      </c>
      <c r="FX16" s="53">
        <v>2.2</v>
      </c>
      <c r="FY16" s="53">
        <v>2.2</v>
      </c>
      <c r="FZ16" s="53">
        <v>2.2</v>
      </c>
      <c r="GA16" s="53">
        <v>2.2</v>
      </c>
      <c r="GB16" s="93">
        <f t="shared" si="15"/>
        <v>26.399999999999995</v>
      </c>
      <c r="GC16" s="53">
        <v>2.2</v>
      </c>
      <c r="GD16" s="53">
        <v>2.2</v>
      </c>
      <c r="GE16" s="53">
        <v>2.2</v>
      </c>
      <c r="GF16" s="53">
        <v>2.2</v>
      </c>
      <c r="GG16" s="53">
        <v>2.2</v>
      </c>
      <c r="GH16" s="53">
        <v>2.2</v>
      </c>
      <c r="GI16" s="53">
        <v>2.2</v>
      </c>
      <c r="GJ16" s="53">
        <v>2.2</v>
      </c>
      <c r="GK16" s="53">
        <v>2.2</v>
      </c>
      <c r="GL16" s="53">
        <v>2.2</v>
      </c>
      <c r="GM16" s="53">
        <v>2.2</v>
      </c>
      <c r="GN16" s="53">
        <v>2.2</v>
      </c>
      <c r="GO16" s="93">
        <f t="shared" si="16"/>
        <v>26.399999999999995</v>
      </c>
      <c r="GP16" s="53">
        <v>2.2</v>
      </c>
      <c r="GQ16" s="53">
        <v>2.2</v>
      </c>
      <c r="GR16" s="53">
        <v>2.2</v>
      </c>
      <c r="GS16" s="53">
        <v>2.2</v>
      </c>
      <c r="GT16" s="53">
        <v>2.2</v>
      </c>
      <c r="GU16" s="53">
        <v>2.2</v>
      </c>
      <c r="GV16" s="53">
        <v>2.2</v>
      </c>
      <c r="GW16" s="53">
        <v>2.2</v>
      </c>
      <c r="GX16" s="53">
        <v>2.2</v>
      </c>
      <c r="GY16" s="53">
        <v>2.2</v>
      </c>
      <c r="GZ16" s="53">
        <v>2.2</v>
      </c>
      <c r="HA16" s="53">
        <v>2.2</v>
      </c>
      <c r="HB16" s="93">
        <f t="shared" si="18"/>
        <v>26.399999999999995</v>
      </c>
      <c r="HC16" s="49">
        <f t="shared" si="19"/>
        <v>378.3999999999999</v>
      </c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95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95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95"/>
      <c r="IP16" s="53"/>
      <c r="IQ16" s="53"/>
      <c r="IR16" s="53"/>
      <c r="IS16" s="53"/>
      <c r="IT16" s="53"/>
      <c r="IU16" s="53"/>
      <c r="IV16" s="53"/>
    </row>
    <row r="17" spans="2:256" ht="14.25" outlineLevel="2">
      <c r="B17" s="55" t="s">
        <v>384</v>
      </c>
      <c r="C17" s="53"/>
      <c r="D17" s="53"/>
      <c r="E17" s="53"/>
      <c r="F17" s="53"/>
      <c r="G17" s="53"/>
      <c r="H17" s="53"/>
      <c r="I17" s="53"/>
      <c r="J17" s="53"/>
      <c r="K17" s="53">
        <v>2.98</v>
      </c>
      <c r="L17" s="53">
        <v>2.98</v>
      </c>
      <c r="M17" s="53">
        <v>2.98</v>
      </c>
      <c r="N17" s="53">
        <v>2.98</v>
      </c>
      <c r="O17" s="93">
        <f t="shared" si="20"/>
        <v>11.92</v>
      </c>
      <c r="P17" s="53">
        <v>2.98</v>
      </c>
      <c r="Q17" s="53">
        <v>2.98</v>
      </c>
      <c r="R17" s="53">
        <v>2.98</v>
      </c>
      <c r="S17" s="53">
        <v>2.98</v>
      </c>
      <c r="T17" s="53">
        <v>2.98</v>
      </c>
      <c r="U17" s="53">
        <v>2.98</v>
      </c>
      <c r="V17" s="53">
        <v>2.98</v>
      </c>
      <c r="W17" s="53">
        <v>2.98</v>
      </c>
      <c r="X17" s="53">
        <v>2.98</v>
      </c>
      <c r="Y17" s="53">
        <v>2.98</v>
      </c>
      <c r="Z17" s="53">
        <v>2.98</v>
      </c>
      <c r="AA17" s="53">
        <v>2.98</v>
      </c>
      <c r="AB17" s="93">
        <f t="shared" si="22"/>
        <v>35.76</v>
      </c>
      <c r="AC17" s="53">
        <v>2.98</v>
      </c>
      <c r="AD17" s="53">
        <v>2.98</v>
      </c>
      <c r="AE17" s="53">
        <v>2.98</v>
      </c>
      <c r="AF17" s="53">
        <v>2.98</v>
      </c>
      <c r="AG17" s="53">
        <v>2.98</v>
      </c>
      <c r="AH17" s="53">
        <v>2.98</v>
      </c>
      <c r="AI17" s="53">
        <v>2.98</v>
      </c>
      <c r="AJ17" s="53">
        <v>2.98</v>
      </c>
      <c r="AK17" s="53">
        <v>2.98</v>
      </c>
      <c r="AL17" s="53">
        <v>2.98</v>
      </c>
      <c r="AM17" s="53">
        <v>2.98</v>
      </c>
      <c r="AN17" s="53">
        <v>2.98</v>
      </c>
      <c r="AO17" s="93">
        <f t="shared" si="0"/>
        <v>35.76</v>
      </c>
      <c r="AP17" s="53">
        <v>2.98</v>
      </c>
      <c r="AQ17" s="53">
        <v>2.98</v>
      </c>
      <c r="AR17" s="53">
        <v>2.98</v>
      </c>
      <c r="AS17" s="53">
        <v>2.98</v>
      </c>
      <c r="AT17" s="53">
        <v>2.98</v>
      </c>
      <c r="AU17" s="53">
        <v>2.98</v>
      </c>
      <c r="AV17" s="53">
        <v>2.98</v>
      </c>
      <c r="AW17" s="53">
        <v>2.98</v>
      </c>
      <c r="AX17" s="53">
        <v>2.98</v>
      </c>
      <c r="AY17" s="53">
        <v>2.98</v>
      </c>
      <c r="AZ17" s="53">
        <v>2.98</v>
      </c>
      <c r="BA17" s="53">
        <v>2.98</v>
      </c>
      <c r="BB17" s="93">
        <f t="shared" si="2"/>
        <v>35.76</v>
      </c>
      <c r="BC17" s="53">
        <v>2.98</v>
      </c>
      <c r="BD17" s="53">
        <v>2.98</v>
      </c>
      <c r="BE17" s="53">
        <v>2.98</v>
      </c>
      <c r="BF17" s="53">
        <v>2.98</v>
      </c>
      <c r="BG17" s="53">
        <v>2.98</v>
      </c>
      <c r="BH17" s="53">
        <v>2.98</v>
      </c>
      <c r="BI17" s="53">
        <v>2.98</v>
      </c>
      <c r="BJ17" s="53">
        <v>2.98</v>
      </c>
      <c r="BK17" s="53">
        <v>2.98</v>
      </c>
      <c r="BL17" s="53">
        <v>2.98</v>
      </c>
      <c r="BM17" s="53">
        <v>2.98</v>
      </c>
      <c r="BN17" s="53">
        <v>2.98</v>
      </c>
      <c r="BO17" s="93">
        <f t="shared" si="4"/>
        <v>35.76</v>
      </c>
      <c r="BP17" s="53">
        <v>2.98</v>
      </c>
      <c r="BQ17" s="53">
        <v>2.98</v>
      </c>
      <c r="BR17" s="53">
        <v>2.98</v>
      </c>
      <c r="BS17" s="53">
        <v>2.98</v>
      </c>
      <c r="BT17" s="53">
        <v>2.98</v>
      </c>
      <c r="BU17" s="53">
        <v>2.98</v>
      </c>
      <c r="BV17" s="53">
        <v>2.98</v>
      </c>
      <c r="BW17" s="53">
        <v>2.98</v>
      </c>
      <c r="BX17" s="53">
        <v>2.98</v>
      </c>
      <c r="BY17" s="53">
        <v>2.98</v>
      </c>
      <c r="BZ17" s="53">
        <v>2.98</v>
      </c>
      <c r="CA17" s="53">
        <v>2.98</v>
      </c>
      <c r="CB17" s="93">
        <f t="shared" si="5"/>
        <v>35.76</v>
      </c>
      <c r="CC17" s="53">
        <v>2.98</v>
      </c>
      <c r="CD17" s="53">
        <v>2.98</v>
      </c>
      <c r="CE17" s="53">
        <v>2.98</v>
      </c>
      <c r="CF17" s="53">
        <v>2.98</v>
      </c>
      <c r="CG17" s="53">
        <v>2.98</v>
      </c>
      <c r="CH17" s="53">
        <v>2.98</v>
      </c>
      <c r="CI17" s="53">
        <v>2.98</v>
      </c>
      <c r="CJ17" s="53">
        <v>2.98</v>
      </c>
      <c r="CK17" s="53">
        <v>2.98</v>
      </c>
      <c r="CL17" s="53">
        <v>2.98</v>
      </c>
      <c r="CM17" s="53">
        <v>2.98</v>
      </c>
      <c r="CN17" s="53">
        <v>2.98</v>
      </c>
      <c r="CO17" s="93">
        <f t="shared" si="6"/>
        <v>35.76</v>
      </c>
      <c r="CP17" s="53">
        <v>2.98</v>
      </c>
      <c r="CQ17" s="53">
        <v>2.98</v>
      </c>
      <c r="CR17" s="53">
        <v>2.98</v>
      </c>
      <c r="CS17" s="53">
        <v>2.98</v>
      </c>
      <c r="CT17" s="53">
        <v>2.98</v>
      </c>
      <c r="CU17" s="53">
        <v>2.98</v>
      </c>
      <c r="CV17" s="53">
        <v>2.98</v>
      </c>
      <c r="CW17" s="53">
        <v>2.98</v>
      </c>
      <c r="CX17" s="53">
        <v>2.98</v>
      </c>
      <c r="CY17" s="53">
        <v>2.98</v>
      </c>
      <c r="CZ17" s="53">
        <v>2.98</v>
      </c>
      <c r="DA17" s="53">
        <v>2.98</v>
      </c>
      <c r="DB17" s="93">
        <f t="shared" si="7"/>
        <v>35.76</v>
      </c>
      <c r="DC17" s="53">
        <v>2.98</v>
      </c>
      <c r="DD17" s="53">
        <v>2.98</v>
      </c>
      <c r="DE17" s="53">
        <v>2.98</v>
      </c>
      <c r="DF17" s="53">
        <v>2.98</v>
      </c>
      <c r="DG17" s="53">
        <v>2.98</v>
      </c>
      <c r="DH17" s="53">
        <v>2.98</v>
      </c>
      <c r="DI17" s="53">
        <v>2.98</v>
      </c>
      <c r="DJ17" s="53">
        <v>2.98</v>
      </c>
      <c r="DK17" s="53">
        <v>2.98</v>
      </c>
      <c r="DL17" s="53">
        <v>2.98</v>
      </c>
      <c r="DM17" s="53">
        <v>2.98</v>
      </c>
      <c r="DN17" s="53">
        <v>2.98</v>
      </c>
      <c r="DO17" s="93">
        <f t="shared" si="8"/>
        <v>35.76</v>
      </c>
      <c r="DP17" s="53">
        <v>2.98</v>
      </c>
      <c r="DQ17" s="53">
        <v>2.98</v>
      </c>
      <c r="DR17" s="53">
        <v>2.98</v>
      </c>
      <c r="DS17" s="53">
        <v>2.98</v>
      </c>
      <c r="DT17" s="53">
        <v>2.98</v>
      </c>
      <c r="DU17" s="53">
        <v>2.98</v>
      </c>
      <c r="DV17" s="53">
        <v>2.98</v>
      </c>
      <c r="DW17" s="53">
        <v>2.98</v>
      </c>
      <c r="DX17" s="53">
        <v>2.98</v>
      </c>
      <c r="DY17" s="53">
        <v>2.98</v>
      </c>
      <c r="DZ17" s="53">
        <v>2.98</v>
      </c>
      <c r="EA17" s="53">
        <v>2.98</v>
      </c>
      <c r="EB17" s="93">
        <f t="shared" si="10"/>
        <v>35.76</v>
      </c>
      <c r="EC17" s="53">
        <v>2.98</v>
      </c>
      <c r="ED17" s="53">
        <v>2.98</v>
      </c>
      <c r="EE17" s="53">
        <v>2.98</v>
      </c>
      <c r="EF17" s="53">
        <v>2.98</v>
      </c>
      <c r="EG17" s="53">
        <v>2.98</v>
      </c>
      <c r="EH17" s="53">
        <v>2.98</v>
      </c>
      <c r="EI17" s="53">
        <v>2.98</v>
      </c>
      <c r="EJ17" s="53">
        <v>2.98</v>
      </c>
      <c r="EK17" s="53">
        <v>2.98</v>
      </c>
      <c r="EL17" s="53">
        <v>2.98</v>
      </c>
      <c r="EM17" s="53">
        <v>2.98</v>
      </c>
      <c r="EN17" s="53">
        <v>2.98</v>
      </c>
      <c r="EO17" s="93">
        <f t="shared" si="12"/>
        <v>35.76</v>
      </c>
      <c r="EP17" s="53">
        <v>2.98</v>
      </c>
      <c r="EQ17" s="53">
        <v>2.98</v>
      </c>
      <c r="ER17" s="53">
        <v>2.98</v>
      </c>
      <c r="ES17" s="53">
        <v>2.98</v>
      </c>
      <c r="ET17" s="53">
        <v>2.98</v>
      </c>
      <c r="EU17" s="53">
        <v>2.98</v>
      </c>
      <c r="EV17" s="53">
        <v>2.98</v>
      </c>
      <c r="EW17" s="53">
        <v>2.98</v>
      </c>
      <c r="EX17" s="53">
        <v>2.98</v>
      </c>
      <c r="EY17" s="53">
        <v>2.98</v>
      </c>
      <c r="EZ17" s="53">
        <v>2.98</v>
      </c>
      <c r="FA17" s="53">
        <v>2.98</v>
      </c>
      <c r="FB17" s="93">
        <f t="shared" si="13"/>
        <v>35.76</v>
      </c>
      <c r="FC17" s="53">
        <v>2.98</v>
      </c>
      <c r="FD17" s="53">
        <v>2.98</v>
      </c>
      <c r="FE17" s="53">
        <v>2.98</v>
      </c>
      <c r="FF17" s="53">
        <v>2.98</v>
      </c>
      <c r="FG17" s="53">
        <v>2.98</v>
      </c>
      <c r="FH17" s="53">
        <v>2.98</v>
      </c>
      <c r="FI17" s="53">
        <v>2.98</v>
      </c>
      <c r="FJ17" s="53">
        <v>2.98</v>
      </c>
      <c r="FK17" s="53">
        <v>2.98</v>
      </c>
      <c r="FL17" s="53">
        <v>2.98</v>
      </c>
      <c r="FM17" s="53">
        <v>2.98</v>
      </c>
      <c r="FN17" s="53">
        <v>2.98</v>
      </c>
      <c r="FO17" s="93">
        <f t="shared" si="14"/>
        <v>35.76</v>
      </c>
      <c r="FP17" s="53">
        <v>2.98</v>
      </c>
      <c r="FQ17" s="53">
        <v>2.98</v>
      </c>
      <c r="FR17" s="53">
        <v>2.98</v>
      </c>
      <c r="FS17" s="53">
        <v>2.98</v>
      </c>
      <c r="FT17" s="53">
        <v>2.98</v>
      </c>
      <c r="FU17" s="53">
        <v>2.98</v>
      </c>
      <c r="FV17" s="53">
        <v>2.98</v>
      </c>
      <c r="FW17" s="53">
        <v>2.98</v>
      </c>
      <c r="FX17" s="53">
        <v>2.98</v>
      </c>
      <c r="FY17" s="53">
        <v>2.98</v>
      </c>
      <c r="FZ17" s="53">
        <v>2.98</v>
      </c>
      <c r="GA17" s="53">
        <v>2.98</v>
      </c>
      <c r="GB17" s="93">
        <f t="shared" si="15"/>
        <v>35.76</v>
      </c>
      <c r="GC17" s="53">
        <v>2.98</v>
      </c>
      <c r="GD17" s="53">
        <v>2.98</v>
      </c>
      <c r="GE17" s="53">
        <v>2.98</v>
      </c>
      <c r="GF17" s="53">
        <v>2.98</v>
      </c>
      <c r="GG17" s="53">
        <v>2.98</v>
      </c>
      <c r="GH17" s="53">
        <v>2.98</v>
      </c>
      <c r="GI17" s="53">
        <v>2.98</v>
      </c>
      <c r="GJ17" s="53">
        <v>2.98</v>
      </c>
      <c r="GK17" s="53">
        <v>2.98</v>
      </c>
      <c r="GL17" s="53">
        <v>2.98</v>
      </c>
      <c r="GM17" s="53">
        <v>2.98</v>
      </c>
      <c r="GN17" s="53">
        <v>2.98</v>
      </c>
      <c r="GO17" s="93">
        <f t="shared" si="16"/>
        <v>35.76</v>
      </c>
      <c r="GP17" s="53">
        <v>2.98</v>
      </c>
      <c r="GQ17" s="53">
        <v>2.98</v>
      </c>
      <c r="GR17" s="53">
        <v>2.98</v>
      </c>
      <c r="GS17" s="53">
        <v>2.98</v>
      </c>
      <c r="GT17" s="53">
        <v>2.98</v>
      </c>
      <c r="GU17" s="53">
        <v>2.98</v>
      </c>
      <c r="GV17" s="53">
        <v>2.98</v>
      </c>
      <c r="GW17" s="53">
        <v>2.98</v>
      </c>
      <c r="GX17" s="53">
        <v>2.98</v>
      </c>
      <c r="GY17" s="53">
        <v>2.98</v>
      </c>
      <c r="GZ17" s="53">
        <v>2.98</v>
      </c>
      <c r="HA17" s="53">
        <v>2.98</v>
      </c>
      <c r="HB17" s="93">
        <f t="shared" si="18"/>
        <v>35.76</v>
      </c>
      <c r="HC17" s="49">
        <f t="shared" si="19"/>
        <v>548.3199999999999</v>
      </c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95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95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95"/>
      <c r="IP17" s="53"/>
      <c r="IQ17" s="53"/>
      <c r="IR17" s="53"/>
      <c r="IS17" s="53"/>
      <c r="IT17" s="53"/>
      <c r="IU17" s="53"/>
      <c r="IV17" s="53"/>
    </row>
    <row r="18" spans="2:256" ht="14.25" outlineLevel="2">
      <c r="B18" s="55" t="s">
        <v>385</v>
      </c>
      <c r="C18" s="53"/>
      <c r="D18" s="53"/>
      <c r="E18" s="53"/>
      <c r="F18" s="53"/>
      <c r="G18" s="53"/>
      <c r="H18" s="53"/>
      <c r="I18" s="53"/>
      <c r="J18" s="53"/>
      <c r="K18" s="53">
        <v>50</v>
      </c>
      <c r="L18" s="53"/>
      <c r="M18" s="53"/>
      <c r="N18" s="53"/>
      <c r="O18" s="93">
        <f t="shared" si="20"/>
        <v>50</v>
      </c>
      <c r="P18" s="53"/>
      <c r="Q18" s="53"/>
      <c r="R18" s="53"/>
      <c r="S18" s="53"/>
      <c r="T18" s="53"/>
      <c r="U18" s="53"/>
      <c r="V18" s="53"/>
      <c r="W18" s="53"/>
      <c r="X18" s="53">
        <v>50</v>
      </c>
      <c r="Y18" s="53"/>
      <c r="Z18" s="53"/>
      <c r="AA18" s="53"/>
      <c r="AB18" s="93">
        <f t="shared" si="22"/>
        <v>50</v>
      </c>
      <c r="AC18" s="53"/>
      <c r="AD18" s="53"/>
      <c r="AE18" s="53"/>
      <c r="AF18" s="53"/>
      <c r="AG18" s="53"/>
      <c r="AH18" s="53"/>
      <c r="AI18" s="53"/>
      <c r="AJ18" s="53"/>
      <c r="AK18" s="53">
        <v>50</v>
      </c>
      <c r="AL18" s="53"/>
      <c r="AM18" s="53"/>
      <c r="AN18" s="53"/>
      <c r="AO18" s="93">
        <f t="shared" si="0"/>
        <v>50</v>
      </c>
      <c r="AP18" s="53"/>
      <c r="AQ18" s="53"/>
      <c r="AR18" s="53"/>
      <c r="AS18" s="53"/>
      <c r="AT18" s="53"/>
      <c r="AU18" s="53"/>
      <c r="AV18" s="53"/>
      <c r="AW18" s="53"/>
      <c r="AX18" s="53">
        <v>50</v>
      </c>
      <c r="AY18" s="53"/>
      <c r="AZ18" s="53"/>
      <c r="BA18" s="53"/>
      <c r="BB18" s="93">
        <f t="shared" si="2"/>
        <v>50</v>
      </c>
      <c r="BC18" s="53"/>
      <c r="BD18" s="53"/>
      <c r="BE18" s="53"/>
      <c r="BF18" s="53"/>
      <c r="BG18" s="53"/>
      <c r="BH18" s="53"/>
      <c r="BI18" s="53"/>
      <c r="BJ18" s="53"/>
      <c r="BK18" s="53">
        <v>50</v>
      </c>
      <c r="BL18" s="53"/>
      <c r="BM18" s="53"/>
      <c r="BN18" s="53"/>
      <c r="BO18" s="93">
        <f t="shared" si="4"/>
        <v>50</v>
      </c>
      <c r="BP18" s="53"/>
      <c r="BQ18" s="53"/>
      <c r="BR18" s="53"/>
      <c r="BS18" s="53"/>
      <c r="BT18" s="53"/>
      <c r="BU18" s="53"/>
      <c r="BV18" s="53"/>
      <c r="BW18" s="53"/>
      <c r="BX18" s="53">
        <v>50</v>
      </c>
      <c r="BY18" s="53"/>
      <c r="BZ18" s="53"/>
      <c r="CA18" s="53"/>
      <c r="CB18" s="93">
        <f t="shared" si="5"/>
        <v>50</v>
      </c>
      <c r="CC18" s="53"/>
      <c r="CD18" s="53"/>
      <c r="CE18" s="53"/>
      <c r="CF18" s="53"/>
      <c r="CG18" s="53"/>
      <c r="CH18" s="53"/>
      <c r="CI18" s="53"/>
      <c r="CJ18" s="53"/>
      <c r="CK18" s="53">
        <v>50</v>
      </c>
      <c r="CL18" s="53"/>
      <c r="CM18" s="53"/>
      <c r="CN18" s="53"/>
      <c r="CO18" s="93">
        <f t="shared" si="6"/>
        <v>50</v>
      </c>
      <c r="CP18" s="53"/>
      <c r="CQ18" s="53"/>
      <c r="CR18" s="53"/>
      <c r="CS18" s="53"/>
      <c r="CT18" s="53"/>
      <c r="CU18" s="53"/>
      <c r="CV18" s="53"/>
      <c r="CW18" s="53"/>
      <c r="CX18" s="53">
        <v>50</v>
      </c>
      <c r="CY18" s="53"/>
      <c r="CZ18" s="53"/>
      <c r="DA18" s="53"/>
      <c r="DB18" s="93">
        <f t="shared" si="7"/>
        <v>50</v>
      </c>
      <c r="DC18" s="53"/>
      <c r="DD18" s="53"/>
      <c r="DE18" s="53"/>
      <c r="DF18" s="53"/>
      <c r="DG18" s="53"/>
      <c r="DH18" s="53"/>
      <c r="DI18" s="53"/>
      <c r="DJ18" s="53"/>
      <c r="DK18" s="53">
        <v>50</v>
      </c>
      <c r="DL18" s="53"/>
      <c r="DM18" s="53"/>
      <c r="DN18" s="53"/>
      <c r="DO18" s="93">
        <f t="shared" si="8"/>
        <v>50</v>
      </c>
      <c r="DP18" s="53"/>
      <c r="DQ18" s="53"/>
      <c r="DR18" s="53"/>
      <c r="DS18" s="53"/>
      <c r="DT18" s="53"/>
      <c r="DU18" s="53"/>
      <c r="DV18" s="53"/>
      <c r="DW18" s="53"/>
      <c r="DX18" s="53">
        <v>50</v>
      </c>
      <c r="DY18" s="53"/>
      <c r="DZ18" s="53"/>
      <c r="EA18" s="53"/>
      <c r="EB18" s="93">
        <f t="shared" si="10"/>
        <v>50</v>
      </c>
      <c r="EC18" s="53"/>
      <c r="ED18" s="53"/>
      <c r="EE18" s="53"/>
      <c r="EF18" s="53"/>
      <c r="EG18" s="53"/>
      <c r="EH18" s="53"/>
      <c r="EI18" s="53"/>
      <c r="EJ18" s="53"/>
      <c r="EK18" s="53">
        <v>50</v>
      </c>
      <c r="EL18" s="53"/>
      <c r="EM18" s="53"/>
      <c r="EN18" s="53"/>
      <c r="EO18" s="93">
        <f t="shared" si="12"/>
        <v>50</v>
      </c>
      <c r="EP18" s="53"/>
      <c r="EQ18" s="53"/>
      <c r="ER18" s="53"/>
      <c r="ES18" s="53"/>
      <c r="ET18" s="53"/>
      <c r="EU18" s="53"/>
      <c r="EV18" s="53"/>
      <c r="EW18" s="53"/>
      <c r="EX18" s="53">
        <v>50</v>
      </c>
      <c r="EY18" s="53"/>
      <c r="EZ18" s="53"/>
      <c r="FA18" s="53"/>
      <c r="FB18" s="93">
        <f t="shared" si="13"/>
        <v>50</v>
      </c>
      <c r="FC18" s="53"/>
      <c r="FD18" s="53"/>
      <c r="FE18" s="53"/>
      <c r="FF18" s="53"/>
      <c r="FG18" s="53"/>
      <c r="FH18" s="53"/>
      <c r="FI18" s="53"/>
      <c r="FJ18" s="53"/>
      <c r="FK18" s="53">
        <v>50</v>
      </c>
      <c r="FL18" s="53"/>
      <c r="FM18" s="53"/>
      <c r="FN18" s="53"/>
      <c r="FO18" s="93">
        <f t="shared" si="14"/>
        <v>50</v>
      </c>
      <c r="FP18" s="53"/>
      <c r="FQ18" s="53"/>
      <c r="FR18" s="53"/>
      <c r="FS18" s="53"/>
      <c r="FT18" s="53"/>
      <c r="FU18" s="53"/>
      <c r="FV18" s="53"/>
      <c r="FW18" s="53"/>
      <c r="FX18" s="53">
        <v>50</v>
      </c>
      <c r="FY18" s="53"/>
      <c r="FZ18" s="53"/>
      <c r="GA18" s="53"/>
      <c r="GB18" s="93">
        <f t="shared" si="15"/>
        <v>50</v>
      </c>
      <c r="GC18" s="53"/>
      <c r="GD18" s="53"/>
      <c r="GE18" s="53"/>
      <c r="GF18" s="53"/>
      <c r="GG18" s="53"/>
      <c r="GH18" s="53"/>
      <c r="GI18" s="53"/>
      <c r="GJ18" s="53"/>
      <c r="GK18" s="53">
        <v>50</v>
      </c>
      <c r="GL18" s="53"/>
      <c r="GM18" s="53"/>
      <c r="GN18" s="53"/>
      <c r="GO18" s="93">
        <f t="shared" si="16"/>
        <v>50</v>
      </c>
      <c r="GP18" s="53"/>
      <c r="GQ18" s="53"/>
      <c r="GR18" s="53"/>
      <c r="GS18" s="53"/>
      <c r="GT18" s="53"/>
      <c r="GU18" s="53"/>
      <c r="GV18" s="53"/>
      <c r="GW18" s="53"/>
      <c r="GX18" s="53">
        <v>50</v>
      </c>
      <c r="GY18" s="53"/>
      <c r="GZ18" s="53"/>
      <c r="HA18" s="53"/>
      <c r="HB18" s="93">
        <f t="shared" si="18"/>
        <v>50</v>
      </c>
      <c r="HC18" s="49">
        <f t="shared" si="19"/>
        <v>800</v>
      </c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95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95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95"/>
      <c r="IP18" s="53"/>
      <c r="IQ18" s="53"/>
      <c r="IR18" s="53"/>
      <c r="IS18" s="53"/>
      <c r="IT18" s="53"/>
      <c r="IU18" s="53"/>
      <c r="IV18" s="53"/>
    </row>
    <row r="19" spans="2:256" ht="14.25" outlineLevel="2">
      <c r="B19" s="55" t="s">
        <v>386</v>
      </c>
      <c r="C19" s="53"/>
      <c r="D19" s="53"/>
      <c r="E19" s="53"/>
      <c r="F19" s="53"/>
      <c r="G19" s="53"/>
      <c r="H19" s="53"/>
      <c r="I19" s="53"/>
      <c r="J19" s="53"/>
      <c r="K19" s="53">
        <v>18.513</v>
      </c>
      <c r="L19" s="53">
        <v>18.513</v>
      </c>
      <c r="M19" s="53">
        <v>18.513</v>
      </c>
      <c r="N19" s="53">
        <v>18.513</v>
      </c>
      <c r="O19" s="93">
        <f t="shared" si="20"/>
        <v>74.052</v>
      </c>
      <c r="P19" s="53">
        <v>18.513</v>
      </c>
      <c r="Q19" s="53">
        <v>18.513</v>
      </c>
      <c r="R19" s="53">
        <v>18.513</v>
      </c>
      <c r="S19" s="53">
        <v>18.513</v>
      </c>
      <c r="T19" s="53">
        <v>18.513</v>
      </c>
      <c r="U19" s="53">
        <v>18.513</v>
      </c>
      <c r="V19" s="53">
        <v>18.513</v>
      </c>
      <c r="W19" s="53">
        <v>18.513</v>
      </c>
      <c r="X19" s="53">
        <v>18.513</v>
      </c>
      <c r="Y19" s="53">
        <v>18.513</v>
      </c>
      <c r="Z19" s="53">
        <v>18.513</v>
      </c>
      <c r="AA19" s="53">
        <v>18.513</v>
      </c>
      <c r="AB19" s="93">
        <f t="shared" si="22"/>
        <v>222.15600000000003</v>
      </c>
      <c r="AC19" s="53">
        <v>18.513</v>
      </c>
      <c r="AD19" s="53">
        <v>18.513</v>
      </c>
      <c r="AE19" s="53">
        <v>18.513</v>
      </c>
      <c r="AF19" s="53">
        <v>18.513</v>
      </c>
      <c r="AG19" s="53">
        <v>18.513</v>
      </c>
      <c r="AH19" s="53">
        <v>18.513</v>
      </c>
      <c r="AI19" s="53">
        <v>18.513</v>
      </c>
      <c r="AJ19" s="53">
        <v>18.513</v>
      </c>
      <c r="AK19" s="53">
        <v>18.513</v>
      </c>
      <c r="AL19" s="53">
        <v>18.513</v>
      </c>
      <c r="AM19" s="53">
        <v>18.513</v>
      </c>
      <c r="AN19" s="53">
        <v>18.513</v>
      </c>
      <c r="AO19" s="93">
        <f t="shared" si="0"/>
        <v>222.15600000000003</v>
      </c>
      <c r="AP19" s="53">
        <v>18.513</v>
      </c>
      <c r="AQ19" s="53">
        <v>18.513</v>
      </c>
      <c r="AR19" s="53">
        <v>18.513</v>
      </c>
      <c r="AS19" s="53">
        <v>18.513</v>
      </c>
      <c r="AT19" s="53">
        <v>18.513</v>
      </c>
      <c r="AU19" s="53">
        <v>18.513</v>
      </c>
      <c r="AV19" s="53">
        <v>18.513</v>
      </c>
      <c r="AW19" s="53">
        <v>18.513</v>
      </c>
      <c r="AX19" s="53">
        <v>18.513</v>
      </c>
      <c r="AY19" s="53">
        <v>18.513</v>
      </c>
      <c r="AZ19" s="53">
        <v>18.513</v>
      </c>
      <c r="BA19" s="53">
        <v>18.513</v>
      </c>
      <c r="BB19" s="93">
        <f t="shared" si="2"/>
        <v>222.15600000000003</v>
      </c>
      <c r="BC19" s="53">
        <v>18.513</v>
      </c>
      <c r="BD19" s="53">
        <v>18.513</v>
      </c>
      <c r="BE19" s="53">
        <v>18.513</v>
      </c>
      <c r="BF19" s="53">
        <v>18.513</v>
      </c>
      <c r="BG19" s="53">
        <v>18.513</v>
      </c>
      <c r="BH19" s="53">
        <v>18.513</v>
      </c>
      <c r="BI19" s="53">
        <v>18.513</v>
      </c>
      <c r="BJ19" s="53">
        <v>18.513</v>
      </c>
      <c r="BK19" s="53">
        <v>18.513</v>
      </c>
      <c r="BL19" s="53">
        <v>18.513</v>
      </c>
      <c r="BM19" s="53">
        <v>18.513</v>
      </c>
      <c r="BN19" s="53">
        <v>18.513</v>
      </c>
      <c r="BO19" s="93">
        <f t="shared" si="4"/>
        <v>222.15600000000003</v>
      </c>
      <c r="BP19" s="53">
        <v>18.513</v>
      </c>
      <c r="BQ19" s="53">
        <v>18.513</v>
      </c>
      <c r="BR19" s="53">
        <v>18.513</v>
      </c>
      <c r="BS19" s="53">
        <v>18.513</v>
      </c>
      <c r="BT19" s="53">
        <v>18.513</v>
      </c>
      <c r="BU19" s="53">
        <v>18.513</v>
      </c>
      <c r="BV19" s="53">
        <v>18.513</v>
      </c>
      <c r="BW19" s="53">
        <v>18.513</v>
      </c>
      <c r="BX19" s="53">
        <v>18.513</v>
      </c>
      <c r="BY19" s="53">
        <v>18.513</v>
      </c>
      <c r="BZ19" s="53">
        <v>18.513</v>
      </c>
      <c r="CA19" s="53">
        <v>18.513</v>
      </c>
      <c r="CB19" s="93">
        <f t="shared" si="5"/>
        <v>222.15600000000003</v>
      </c>
      <c r="CC19" s="53">
        <v>18.513</v>
      </c>
      <c r="CD19" s="53">
        <v>18.513</v>
      </c>
      <c r="CE19" s="53">
        <v>18.513</v>
      </c>
      <c r="CF19" s="53">
        <v>18.513</v>
      </c>
      <c r="CG19" s="53">
        <v>18.513</v>
      </c>
      <c r="CH19" s="53">
        <v>18.513</v>
      </c>
      <c r="CI19" s="53">
        <v>18.513</v>
      </c>
      <c r="CJ19" s="53">
        <v>18.513</v>
      </c>
      <c r="CK19" s="53">
        <v>18.513</v>
      </c>
      <c r="CL19" s="53">
        <v>18.513</v>
      </c>
      <c r="CM19" s="53">
        <v>18.513</v>
      </c>
      <c r="CN19" s="53">
        <v>18.513</v>
      </c>
      <c r="CO19" s="93">
        <f t="shared" si="6"/>
        <v>222.15600000000003</v>
      </c>
      <c r="CP19" s="53">
        <v>18.513</v>
      </c>
      <c r="CQ19" s="53">
        <v>18.513</v>
      </c>
      <c r="CR19" s="53">
        <v>18.513</v>
      </c>
      <c r="CS19" s="53">
        <v>18.513</v>
      </c>
      <c r="CT19" s="53">
        <v>18.513</v>
      </c>
      <c r="CU19" s="53">
        <v>18.513</v>
      </c>
      <c r="CV19" s="53">
        <v>18.513</v>
      </c>
      <c r="CW19" s="53">
        <v>18.513</v>
      </c>
      <c r="CX19" s="53">
        <v>18.513</v>
      </c>
      <c r="CY19" s="53">
        <v>18.513</v>
      </c>
      <c r="CZ19" s="53">
        <v>18.513</v>
      </c>
      <c r="DA19" s="53">
        <v>18.513</v>
      </c>
      <c r="DB19" s="93">
        <f t="shared" si="7"/>
        <v>222.15600000000003</v>
      </c>
      <c r="DC19" s="53">
        <v>18.513</v>
      </c>
      <c r="DD19" s="53">
        <v>18.513</v>
      </c>
      <c r="DE19" s="53">
        <v>18.513</v>
      </c>
      <c r="DF19" s="53">
        <v>18.513</v>
      </c>
      <c r="DG19" s="53">
        <v>18.513</v>
      </c>
      <c r="DH19" s="53">
        <v>18.513</v>
      </c>
      <c r="DI19" s="53">
        <v>18.513</v>
      </c>
      <c r="DJ19" s="53">
        <v>18.513</v>
      </c>
      <c r="DK19" s="53">
        <v>18.513</v>
      </c>
      <c r="DL19" s="53">
        <v>18.513</v>
      </c>
      <c r="DM19" s="53">
        <v>18.513</v>
      </c>
      <c r="DN19" s="53">
        <v>18.513</v>
      </c>
      <c r="DO19" s="93">
        <f t="shared" si="8"/>
        <v>222.15600000000003</v>
      </c>
      <c r="DP19" s="53">
        <v>18.513</v>
      </c>
      <c r="DQ19" s="53">
        <v>18.513</v>
      </c>
      <c r="DR19" s="53">
        <v>18.513</v>
      </c>
      <c r="DS19" s="53">
        <v>18.513</v>
      </c>
      <c r="DT19" s="53">
        <v>18.513</v>
      </c>
      <c r="DU19" s="53">
        <v>18.513</v>
      </c>
      <c r="DV19" s="53">
        <v>18.513</v>
      </c>
      <c r="DW19" s="53">
        <v>18.513</v>
      </c>
      <c r="DX19" s="53">
        <v>18.513</v>
      </c>
      <c r="DY19" s="53">
        <v>18.513</v>
      </c>
      <c r="DZ19" s="53">
        <v>18.513</v>
      </c>
      <c r="EA19" s="53">
        <v>18.513</v>
      </c>
      <c r="EB19" s="93">
        <f t="shared" si="10"/>
        <v>222.15600000000003</v>
      </c>
      <c r="EC19" s="53">
        <v>18.513</v>
      </c>
      <c r="ED19" s="53">
        <v>18.513</v>
      </c>
      <c r="EE19" s="53">
        <v>18.513</v>
      </c>
      <c r="EF19" s="53">
        <v>18.513</v>
      </c>
      <c r="EG19" s="53">
        <v>18.513</v>
      </c>
      <c r="EH19" s="53">
        <v>18.513</v>
      </c>
      <c r="EI19" s="53">
        <v>18.513</v>
      </c>
      <c r="EJ19" s="53">
        <v>18.513</v>
      </c>
      <c r="EK19" s="53">
        <v>18.513</v>
      </c>
      <c r="EL19" s="53">
        <v>18.513</v>
      </c>
      <c r="EM19" s="53">
        <v>18.513</v>
      </c>
      <c r="EN19" s="53">
        <v>18.513</v>
      </c>
      <c r="EO19" s="93">
        <f t="shared" si="12"/>
        <v>222.15600000000003</v>
      </c>
      <c r="EP19" s="53">
        <v>18.513</v>
      </c>
      <c r="EQ19" s="53">
        <v>18.513</v>
      </c>
      <c r="ER19" s="53">
        <v>18.513</v>
      </c>
      <c r="ES19" s="53">
        <v>18.513</v>
      </c>
      <c r="ET19" s="53">
        <v>18.513</v>
      </c>
      <c r="EU19" s="53">
        <v>18.513</v>
      </c>
      <c r="EV19" s="53">
        <v>18.513</v>
      </c>
      <c r="EW19" s="53">
        <v>18.513</v>
      </c>
      <c r="EX19" s="53">
        <v>18.513</v>
      </c>
      <c r="EY19" s="53">
        <v>18.513</v>
      </c>
      <c r="EZ19" s="53">
        <v>18.513</v>
      </c>
      <c r="FA19" s="53">
        <v>18.513</v>
      </c>
      <c r="FB19" s="93">
        <f t="shared" si="13"/>
        <v>222.15600000000003</v>
      </c>
      <c r="FC19" s="53">
        <v>18.513</v>
      </c>
      <c r="FD19" s="53">
        <v>18.513</v>
      </c>
      <c r="FE19" s="53">
        <v>18.513</v>
      </c>
      <c r="FF19" s="53">
        <v>18.513</v>
      </c>
      <c r="FG19" s="53">
        <v>18.513</v>
      </c>
      <c r="FH19" s="53">
        <v>18.513</v>
      </c>
      <c r="FI19" s="53">
        <v>18.513</v>
      </c>
      <c r="FJ19" s="53">
        <v>18.513</v>
      </c>
      <c r="FK19" s="53">
        <v>18.513</v>
      </c>
      <c r="FL19" s="53">
        <v>18.513</v>
      </c>
      <c r="FM19" s="53">
        <v>18.513</v>
      </c>
      <c r="FN19" s="53">
        <v>18.513</v>
      </c>
      <c r="FO19" s="93">
        <f t="shared" si="14"/>
        <v>222.15600000000003</v>
      </c>
      <c r="FP19" s="53">
        <v>18.513</v>
      </c>
      <c r="FQ19" s="53">
        <v>18.513</v>
      </c>
      <c r="FR19" s="53">
        <v>18.513</v>
      </c>
      <c r="FS19" s="53">
        <v>18.513</v>
      </c>
      <c r="FT19" s="53">
        <v>18.513</v>
      </c>
      <c r="FU19" s="53">
        <v>18.513</v>
      </c>
      <c r="FV19" s="53">
        <v>18.513</v>
      </c>
      <c r="FW19" s="53">
        <v>18.513</v>
      </c>
      <c r="FX19" s="53">
        <v>18.513</v>
      </c>
      <c r="FY19" s="53">
        <v>18.513</v>
      </c>
      <c r="FZ19" s="53">
        <v>18.513</v>
      </c>
      <c r="GA19" s="53">
        <v>18.513</v>
      </c>
      <c r="GB19" s="93">
        <f t="shared" si="15"/>
        <v>222.15600000000003</v>
      </c>
      <c r="GC19" s="53">
        <v>18.513</v>
      </c>
      <c r="GD19" s="53">
        <v>18.513</v>
      </c>
      <c r="GE19" s="53">
        <v>18.513</v>
      </c>
      <c r="GF19" s="53">
        <v>18.513</v>
      </c>
      <c r="GG19" s="53">
        <v>18.513</v>
      </c>
      <c r="GH19" s="53">
        <v>18.513</v>
      </c>
      <c r="GI19" s="53">
        <v>18.513</v>
      </c>
      <c r="GJ19" s="53">
        <v>18.513</v>
      </c>
      <c r="GK19" s="53">
        <v>18.513</v>
      </c>
      <c r="GL19" s="53">
        <v>18.513</v>
      </c>
      <c r="GM19" s="53">
        <v>18.513</v>
      </c>
      <c r="GN19" s="53">
        <v>18.513</v>
      </c>
      <c r="GO19" s="93">
        <f t="shared" si="16"/>
        <v>222.15600000000003</v>
      </c>
      <c r="GP19" s="53">
        <v>18.513</v>
      </c>
      <c r="GQ19" s="53">
        <v>18.513</v>
      </c>
      <c r="GR19" s="53">
        <v>18.513</v>
      </c>
      <c r="GS19" s="53">
        <v>18.513</v>
      </c>
      <c r="GT19" s="53">
        <v>18.513</v>
      </c>
      <c r="GU19" s="53">
        <v>18.513</v>
      </c>
      <c r="GV19" s="53">
        <v>18.513</v>
      </c>
      <c r="GW19" s="53">
        <v>18.513</v>
      </c>
      <c r="GX19" s="53">
        <v>18.513</v>
      </c>
      <c r="GY19" s="53">
        <v>18.513</v>
      </c>
      <c r="GZ19" s="53">
        <v>18.513</v>
      </c>
      <c r="HA19" s="53">
        <v>18.513</v>
      </c>
      <c r="HB19" s="93">
        <f t="shared" si="18"/>
        <v>222.15600000000003</v>
      </c>
      <c r="HC19" s="49">
        <f t="shared" si="19"/>
        <v>3406.392</v>
      </c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95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95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95"/>
      <c r="IP19" s="53"/>
      <c r="IQ19" s="53"/>
      <c r="IR19" s="53"/>
      <c r="IS19" s="53"/>
      <c r="IT19" s="53"/>
      <c r="IU19" s="53"/>
      <c r="IV19" s="53"/>
    </row>
    <row r="20" spans="2:256" ht="14.25" outlineLevel="2">
      <c r="B20" s="55" t="s">
        <v>387</v>
      </c>
      <c r="C20" s="53"/>
      <c r="D20" s="53"/>
      <c r="E20" s="53"/>
      <c r="F20" s="53"/>
      <c r="G20" s="53"/>
      <c r="H20" s="53"/>
      <c r="I20" s="53"/>
      <c r="J20" s="53"/>
      <c r="K20" s="53">
        <v>3</v>
      </c>
      <c r="L20" s="53">
        <v>3</v>
      </c>
      <c r="M20" s="53">
        <v>3</v>
      </c>
      <c r="N20" s="53">
        <v>3</v>
      </c>
      <c r="O20" s="93">
        <f t="shared" si="20"/>
        <v>12</v>
      </c>
      <c r="P20" s="53">
        <v>3</v>
      </c>
      <c r="Q20" s="53">
        <v>3</v>
      </c>
      <c r="R20" s="53">
        <v>3</v>
      </c>
      <c r="S20" s="53">
        <v>3</v>
      </c>
      <c r="T20" s="53">
        <v>3</v>
      </c>
      <c r="U20" s="53">
        <v>3</v>
      </c>
      <c r="V20" s="53">
        <v>3</v>
      </c>
      <c r="W20" s="53">
        <v>3</v>
      </c>
      <c r="X20" s="53">
        <v>3</v>
      </c>
      <c r="Y20" s="53">
        <v>3</v>
      </c>
      <c r="Z20" s="53">
        <v>3</v>
      </c>
      <c r="AA20" s="53">
        <v>3</v>
      </c>
      <c r="AB20" s="93">
        <f t="shared" si="22"/>
        <v>36</v>
      </c>
      <c r="AC20" s="53">
        <v>3</v>
      </c>
      <c r="AD20" s="53">
        <v>3</v>
      </c>
      <c r="AE20" s="53">
        <v>3</v>
      </c>
      <c r="AF20" s="53">
        <v>3</v>
      </c>
      <c r="AG20" s="53">
        <v>3</v>
      </c>
      <c r="AH20" s="53">
        <v>3</v>
      </c>
      <c r="AI20" s="53">
        <v>3</v>
      </c>
      <c r="AJ20" s="53">
        <v>3</v>
      </c>
      <c r="AK20" s="53">
        <v>3</v>
      </c>
      <c r="AL20" s="53">
        <v>3</v>
      </c>
      <c r="AM20" s="53">
        <v>3</v>
      </c>
      <c r="AN20" s="53">
        <v>3</v>
      </c>
      <c r="AO20" s="93">
        <f t="shared" si="0"/>
        <v>36</v>
      </c>
      <c r="AP20" s="53">
        <v>3</v>
      </c>
      <c r="AQ20" s="53">
        <v>3</v>
      </c>
      <c r="AR20" s="53">
        <v>3</v>
      </c>
      <c r="AS20" s="53">
        <v>3</v>
      </c>
      <c r="AT20" s="53">
        <v>3</v>
      </c>
      <c r="AU20" s="53">
        <v>3</v>
      </c>
      <c r="AV20" s="53">
        <v>3</v>
      </c>
      <c r="AW20" s="53">
        <v>3</v>
      </c>
      <c r="AX20" s="53">
        <v>3</v>
      </c>
      <c r="AY20" s="53">
        <v>3</v>
      </c>
      <c r="AZ20" s="53">
        <v>3</v>
      </c>
      <c r="BA20" s="53">
        <v>3</v>
      </c>
      <c r="BB20" s="93">
        <f t="shared" si="2"/>
        <v>36</v>
      </c>
      <c r="BC20" s="53">
        <v>3</v>
      </c>
      <c r="BD20" s="53">
        <v>3</v>
      </c>
      <c r="BE20" s="53">
        <v>3</v>
      </c>
      <c r="BF20" s="53">
        <v>3</v>
      </c>
      <c r="BG20" s="53">
        <v>3</v>
      </c>
      <c r="BH20" s="53">
        <v>3</v>
      </c>
      <c r="BI20" s="53">
        <v>3</v>
      </c>
      <c r="BJ20" s="53">
        <v>3</v>
      </c>
      <c r="BK20" s="53">
        <v>3</v>
      </c>
      <c r="BL20" s="53">
        <v>3</v>
      </c>
      <c r="BM20" s="53">
        <v>3</v>
      </c>
      <c r="BN20" s="53">
        <v>3</v>
      </c>
      <c r="BO20" s="93">
        <f t="shared" si="4"/>
        <v>36</v>
      </c>
      <c r="BP20" s="53">
        <v>3</v>
      </c>
      <c r="BQ20" s="53">
        <v>3</v>
      </c>
      <c r="BR20" s="53">
        <v>3</v>
      </c>
      <c r="BS20" s="53">
        <v>3</v>
      </c>
      <c r="BT20" s="53">
        <v>3</v>
      </c>
      <c r="BU20" s="53">
        <v>3</v>
      </c>
      <c r="BV20" s="53">
        <v>3</v>
      </c>
      <c r="BW20" s="53">
        <v>3</v>
      </c>
      <c r="BX20" s="53">
        <v>3</v>
      </c>
      <c r="BY20" s="53">
        <v>3</v>
      </c>
      <c r="BZ20" s="53">
        <v>3</v>
      </c>
      <c r="CA20" s="53">
        <v>3</v>
      </c>
      <c r="CB20" s="93">
        <f t="shared" si="5"/>
        <v>36</v>
      </c>
      <c r="CC20" s="53">
        <v>3</v>
      </c>
      <c r="CD20" s="53">
        <v>3</v>
      </c>
      <c r="CE20" s="53">
        <v>3</v>
      </c>
      <c r="CF20" s="53">
        <v>3</v>
      </c>
      <c r="CG20" s="53">
        <v>3</v>
      </c>
      <c r="CH20" s="53">
        <v>3</v>
      </c>
      <c r="CI20" s="53">
        <v>3</v>
      </c>
      <c r="CJ20" s="53">
        <v>3</v>
      </c>
      <c r="CK20" s="53">
        <v>3</v>
      </c>
      <c r="CL20" s="53">
        <v>3</v>
      </c>
      <c r="CM20" s="53">
        <v>3</v>
      </c>
      <c r="CN20" s="53">
        <v>3</v>
      </c>
      <c r="CO20" s="93">
        <f t="shared" si="6"/>
        <v>36</v>
      </c>
      <c r="CP20" s="53">
        <v>3</v>
      </c>
      <c r="CQ20" s="53">
        <v>3</v>
      </c>
      <c r="CR20" s="53">
        <v>3</v>
      </c>
      <c r="CS20" s="53">
        <v>3</v>
      </c>
      <c r="CT20" s="53">
        <v>3</v>
      </c>
      <c r="CU20" s="53">
        <v>3</v>
      </c>
      <c r="CV20" s="53">
        <v>3</v>
      </c>
      <c r="CW20" s="53">
        <v>3</v>
      </c>
      <c r="CX20" s="53">
        <v>3</v>
      </c>
      <c r="CY20" s="53">
        <v>3</v>
      </c>
      <c r="CZ20" s="53">
        <v>3</v>
      </c>
      <c r="DA20" s="53">
        <v>3</v>
      </c>
      <c r="DB20" s="93">
        <f t="shared" si="7"/>
        <v>36</v>
      </c>
      <c r="DC20" s="53">
        <v>3</v>
      </c>
      <c r="DD20" s="53">
        <v>3</v>
      </c>
      <c r="DE20" s="53">
        <v>3</v>
      </c>
      <c r="DF20" s="53">
        <v>3</v>
      </c>
      <c r="DG20" s="53">
        <v>3</v>
      </c>
      <c r="DH20" s="53">
        <v>3</v>
      </c>
      <c r="DI20" s="53">
        <v>3</v>
      </c>
      <c r="DJ20" s="53">
        <v>3</v>
      </c>
      <c r="DK20" s="53">
        <v>3</v>
      </c>
      <c r="DL20" s="53">
        <v>3</v>
      </c>
      <c r="DM20" s="53">
        <v>3</v>
      </c>
      <c r="DN20" s="53">
        <v>3</v>
      </c>
      <c r="DO20" s="93">
        <f t="shared" si="8"/>
        <v>36</v>
      </c>
      <c r="DP20" s="53">
        <v>3</v>
      </c>
      <c r="DQ20" s="53">
        <v>3</v>
      </c>
      <c r="DR20" s="53">
        <v>3</v>
      </c>
      <c r="DS20" s="53">
        <v>3</v>
      </c>
      <c r="DT20" s="53">
        <v>3</v>
      </c>
      <c r="DU20" s="53">
        <v>3</v>
      </c>
      <c r="DV20" s="53">
        <v>3</v>
      </c>
      <c r="DW20" s="53">
        <v>3</v>
      </c>
      <c r="DX20" s="53">
        <v>3</v>
      </c>
      <c r="DY20" s="53">
        <v>3</v>
      </c>
      <c r="DZ20" s="53">
        <v>3</v>
      </c>
      <c r="EA20" s="53">
        <v>3</v>
      </c>
      <c r="EB20" s="93">
        <f t="shared" si="10"/>
        <v>36</v>
      </c>
      <c r="EC20" s="53">
        <v>3</v>
      </c>
      <c r="ED20" s="53">
        <v>3</v>
      </c>
      <c r="EE20" s="53">
        <v>3</v>
      </c>
      <c r="EF20" s="53">
        <v>3</v>
      </c>
      <c r="EG20" s="53">
        <v>3</v>
      </c>
      <c r="EH20" s="53">
        <v>3</v>
      </c>
      <c r="EI20" s="53">
        <v>3</v>
      </c>
      <c r="EJ20" s="53">
        <v>3</v>
      </c>
      <c r="EK20" s="53">
        <v>3</v>
      </c>
      <c r="EL20" s="53">
        <v>3</v>
      </c>
      <c r="EM20" s="53">
        <v>3</v>
      </c>
      <c r="EN20" s="53">
        <v>3</v>
      </c>
      <c r="EO20" s="93">
        <f t="shared" si="12"/>
        <v>36</v>
      </c>
      <c r="EP20" s="53">
        <v>3</v>
      </c>
      <c r="EQ20" s="53">
        <v>3</v>
      </c>
      <c r="ER20" s="53">
        <v>3</v>
      </c>
      <c r="ES20" s="53">
        <v>3</v>
      </c>
      <c r="ET20" s="53">
        <v>3</v>
      </c>
      <c r="EU20" s="53">
        <v>3</v>
      </c>
      <c r="EV20" s="53">
        <v>3</v>
      </c>
      <c r="EW20" s="53">
        <v>3</v>
      </c>
      <c r="EX20" s="53">
        <v>3</v>
      </c>
      <c r="EY20" s="53">
        <v>3</v>
      </c>
      <c r="EZ20" s="53">
        <v>3</v>
      </c>
      <c r="FA20" s="53">
        <v>3</v>
      </c>
      <c r="FB20" s="93">
        <f t="shared" si="13"/>
        <v>36</v>
      </c>
      <c r="FC20" s="53">
        <v>3</v>
      </c>
      <c r="FD20" s="53">
        <v>3</v>
      </c>
      <c r="FE20" s="53">
        <v>3</v>
      </c>
      <c r="FF20" s="53">
        <v>3</v>
      </c>
      <c r="FG20" s="53">
        <v>3</v>
      </c>
      <c r="FH20" s="53">
        <v>3</v>
      </c>
      <c r="FI20" s="53">
        <v>3</v>
      </c>
      <c r="FJ20" s="53">
        <v>3</v>
      </c>
      <c r="FK20" s="53">
        <v>3</v>
      </c>
      <c r="FL20" s="53">
        <v>3</v>
      </c>
      <c r="FM20" s="53">
        <v>3</v>
      </c>
      <c r="FN20" s="53">
        <v>3</v>
      </c>
      <c r="FO20" s="93">
        <f t="shared" si="14"/>
        <v>36</v>
      </c>
      <c r="FP20" s="53">
        <v>3</v>
      </c>
      <c r="FQ20" s="53">
        <v>3</v>
      </c>
      <c r="FR20" s="53">
        <v>3</v>
      </c>
      <c r="FS20" s="53">
        <v>3</v>
      </c>
      <c r="FT20" s="53">
        <v>3</v>
      </c>
      <c r="FU20" s="53">
        <v>3</v>
      </c>
      <c r="FV20" s="53">
        <v>3</v>
      </c>
      <c r="FW20" s="53">
        <v>3</v>
      </c>
      <c r="FX20" s="53">
        <v>3</v>
      </c>
      <c r="FY20" s="53">
        <v>3</v>
      </c>
      <c r="FZ20" s="53">
        <v>3</v>
      </c>
      <c r="GA20" s="53">
        <v>3</v>
      </c>
      <c r="GB20" s="93">
        <f t="shared" si="15"/>
        <v>36</v>
      </c>
      <c r="GC20" s="53">
        <v>3</v>
      </c>
      <c r="GD20" s="53">
        <v>3</v>
      </c>
      <c r="GE20" s="53">
        <v>3</v>
      </c>
      <c r="GF20" s="53">
        <v>3</v>
      </c>
      <c r="GG20" s="53">
        <v>3</v>
      </c>
      <c r="GH20" s="53">
        <v>3</v>
      </c>
      <c r="GI20" s="53">
        <v>3</v>
      </c>
      <c r="GJ20" s="53">
        <v>3</v>
      </c>
      <c r="GK20" s="53">
        <v>3</v>
      </c>
      <c r="GL20" s="53">
        <v>3</v>
      </c>
      <c r="GM20" s="53">
        <v>3</v>
      </c>
      <c r="GN20" s="53">
        <v>3</v>
      </c>
      <c r="GO20" s="93">
        <f t="shared" si="16"/>
        <v>36</v>
      </c>
      <c r="GP20" s="53">
        <v>3</v>
      </c>
      <c r="GQ20" s="53">
        <v>3</v>
      </c>
      <c r="GR20" s="53">
        <v>3</v>
      </c>
      <c r="GS20" s="53">
        <v>3</v>
      </c>
      <c r="GT20" s="53">
        <v>3</v>
      </c>
      <c r="GU20" s="53">
        <v>3</v>
      </c>
      <c r="GV20" s="53">
        <v>3</v>
      </c>
      <c r="GW20" s="53">
        <v>3</v>
      </c>
      <c r="GX20" s="53">
        <v>3</v>
      </c>
      <c r="GY20" s="53">
        <v>3</v>
      </c>
      <c r="GZ20" s="53">
        <v>3</v>
      </c>
      <c r="HA20" s="53">
        <v>3</v>
      </c>
      <c r="HB20" s="93">
        <f t="shared" si="18"/>
        <v>36</v>
      </c>
      <c r="HC20" s="49">
        <f t="shared" si="19"/>
        <v>552</v>
      </c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95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95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95"/>
      <c r="IP20" s="53"/>
      <c r="IQ20" s="53"/>
      <c r="IR20" s="53"/>
      <c r="IS20" s="53"/>
      <c r="IT20" s="53"/>
      <c r="IU20" s="53"/>
      <c r="IV20" s="53"/>
    </row>
    <row r="21" spans="2:256" ht="14.25" outlineLevel="2">
      <c r="B21" s="55" t="s">
        <v>146</v>
      </c>
      <c r="C21" s="53"/>
      <c r="D21" s="53"/>
      <c r="E21" s="53"/>
      <c r="F21" s="53"/>
      <c r="G21" s="53"/>
      <c r="H21" s="53"/>
      <c r="I21" s="53"/>
      <c r="J21" s="53"/>
      <c r="K21" s="53">
        <v>1</v>
      </c>
      <c r="L21" s="53">
        <v>1</v>
      </c>
      <c r="M21" s="53">
        <v>1</v>
      </c>
      <c r="N21" s="53">
        <v>1</v>
      </c>
      <c r="O21" s="93">
        <f t="shared" si="20"/>
        <v>4</v>
      </c>
      <c r="P21" s="53">
        <v>1</v>
      </c>
      <c r="Q21" s="53">
        <v>1</v>
      </c>
      <c r="R21" s="53">
        <v>1</v>
      </c>
      <c r="S21" s="53">
        <v>1</v>
      </c>
      <c r="T21" s="53">
        <v>1</v>
      </c>
      <c r="U21" s="53">
        <v>1</v>
      </c>
      <c r="V21" s="53">
        <v>1</v>
      </c>
      <c r="W21" s="53">
        <v>1</v>
      </c>
      <c r="X21" s="53">
        <v>2</v>
      </c>
      <c r="Y21" s="53">
        <v>2</v>
      </c>
      <c r="Z21" s="53">
        <v>2</v>
      </c>
      <c r="AA21" s="53">
        <v>2</v>
      </c>
      <c r="AB21" s="93">
        <f t="shared" si="22"/>
        <v>16</v>
      </c>
      <c r="AC21" s="53">
        <v>2</v>
      </c>
      <c r="AD21" s="53">
        <v>2</v>
      </c>
      <c r="AE21" s="53">
        <v>2</v>
      </c>
      <c r="AF21" s="53">
        <v>2</v>
      </c>
      <c r="AG21" s="53">
        <v>2</v>
      </c>
      <c r="AH21" s="53">
        <v>2</v>
      </c>
      <c r="AI21" s="53">
        <v>2</v>
      </c>
      <c r="AJ21" s="53">
        <v>2</v>
      </c>
      <c r="AK21" s="53">
        <v>2.5</v>
      </c>
      <c r="AL21" s="53">
        <v>2.5</v>
      </c>
      <c r="AM21" s="53">
        <v>2.5</v>
      </c>
      <c r="AN21" s="53">
        <v>2.5</v>
      </c>
      <c r="AO21" s="93">
        <f t="shared" si="0"/>
        <v>26</v>
      </c>
      <c r="AP21" s="53">
        <v>2.5</v>
      </c>
      <c r="AQ21" s="53">
        <v>2.5</v>
      </c>
      <c r="AR21" s="53">
        <v>2.5</v>
      </c>
      <c r="AS21" s="53">
        <v>2.5</v>
      </c>
      <c r="AT21" s="53">
        <v>2.5</v>
      </c>
      <c r="AU21" s="53">
        <v>2.5</v>
      </c>
      <c r="AV21" s="53">
        <v>2.5</v>
      </c>
      <c r="AW21" s="53">
        <v>2.5</v>
      </c>
      <c r="AX21" s="53">
        <v>2.5</v>
      </c>
      <c r="AY21" s="53">
        <v>2.5</v>
      </c>
      <c r="AZ21" s="53">
        <v>2.5</v>
      </c>
      <c r="BA21" s="53">
        <v>2.5</v>
      </c>
      <c r="BB21" s="93">
        <f t="shared" si="2"/>
        <v>30</v>
      </c>
      <c r="BC21" s="53">
        <v>2.5</v>
      </c>
      <c r="BD21" s="53">
        <v>2.5</v>
      </c>
      <c r="BE21" s="53">
        <v>2.5</v>
      </c>
      <c r="BF21" s="53">
        <v>2.5</v>
      </c>
      <c r="BG21" s="53">
        <v>2.5</v>
      </c>
      <c r="BH21" s="53">
        <v>2.5</v>
      </c>
      <c r="BI21" s="53">
        <v>2.5</v>
      </c>
      <c r="BJ21" s="53">
        <v>2.5</v>
      </c>
      <c r="BK21" s="53">
        <v>2.5</v>
      </c>
      <c r="BL21" s="53">
        <v>2.5</v>
      </c>
      <c r="BM21" s="53">
        <v>2.5</v>
      </c>
      <c r="BN21" s="53">
        <v>2.5</v>
      </c>
      <c r="BO21" s="93">
        <f t="shared" si="4"/>
        <v>30</v>
      </c>
      <c r="BP21" s="53">
        <v>2.5</v>
      </c>
      <c r="BQ21" s="53">
        <v>2.5</v>
      </c>
      <c r="BR21" s="53">
        <v>2.5</v>
      </c>
      <c r="BS21" s="53">
        <v>2.5</v>
      </c>
      <c r="BT21" s="53">
        <v>2.5</v>
      </c>
      <c r="BU21" s="53">
        <v>2.5</v>
      </c>
      <c r="BV21" s="53">
        <v>2.5</v>
      </c>
      <c r="BW21" s="53">
        <v>2.5</v>
      </c>
      <c r="BX21" s="53">
        <v>2.5</v>
      </c>
      <c r="BY21" s="53">
        <v>2.5</v>
      </c>
      <c r="BZ21" s="53">
        <v>2.5</v>
      </c>
      <c r="CA21" s="53">
        <v>2.5</v>
      </c>
      <c r="CB21" s="93">
        <f t="shared" si="5"/>
        <v>30</v>
      </c>
      <c r="CC21" s="53">
        <v>2.5</v>
      </c>
      <c r="CD21" s="53">
        <v>2.5</v>
      </c>
      <c r="CE21" s="53">
        <v>2.5</v>
      </c>
      <c r="CF21" s="53">
        <v>2.5</v>
      </c>
      <c r="CG21" s="53">
        <v>2.5</v>
      </c>
      <c r="CH21" s="53">
        <v>2.5</v>
      </c>
      <c r="CI21" s="53">
        <v>2.5</v>
      </c>
      <c r="CJ21" s="53">
        <v>2.5</v>
      </c>
      <c r="CK21" s="53">
        <v>2.5</v>
      </c>
      <c r="CL21" s="53">
        <v>2.5</v>
      </c>
      <c r="CM21" s="53">
        <v>2.5</v>
      </c>
      <c r="CN21" s="53">
        <v>2.5</v>
      </c>
      <c r="CO21" s="93">
        <f t="shared" si="6"/>
        <v>30</v>
      </c>
      <c r="CP21" s="53">
        <v>2.5</v>
      </c>
      <c r="CQ21" s="53">
        <v>2.5</v>
      </c>
      <c r="CR21" s="53">
        <v>2.5</v>
      </c>
      <c r="CS21" s="53">
        <v>2.5</v>
      </c>
      <c r="CT21" s="53">
        <v>2.5</v>
      </c>
      <c r="CU21" s="53">
        <v>2.5</v>
      </c>
      <c r="CV21" s="53">
        <v>2.5</v>
      </c>
      <c r="CW21" s="53">
        <v>2.5</v>
      </c>
      <c r="CX21" s="53">
        <v>2.5</v>
      </c>
      <c r="CY21" s="53">
        <v>2.5</v>
      </c>
      <c r="CZ21" s="53">
        <v>2.5</v>
      </c>
      <c r="DA21" s="53">
        <v>2.5</v>
      </c>
      <c r="DB21" s="93">
        <f t="shared" si="7"/>
        <v>30</v>
      </c>
      <c r="DC21" s="53">
        <v>2.5</v>
      </c>
      <c r="DD21" s="53">
        <v>2.5</v>
      </c>
      <c r="DE21" s="53">
        <v>2.5</v>
      </c>
      <c r="DF21" s="53">
        <v>2.5</v>
      </c>
      <c r="DG21" s="53">
        <v>2.5</v>
      </c>
      <c r="DH21" s="53">
        <v>2.5</v>
      </c>
      <c r="DI21" s="53">
        <v>2.5</v>
      </c>
      <c r="DJ21" s="53">
        <v>2.5</v>
      </c>
      <c r="DK21" s="53">
        <v>2.5</v>
      </c>
      <c r="DL21" s="53">
        <v>2.5</v>
      </c>
      <c r="DM21" s="53">
        <v>2.5</v>
      </c>
      <c r="DN21" s="53">
        <v>2.5</v>
      </c>
      <c r="DO21" s="93">
        <f t="shared" si="8"/>
        <v>30</v>
      </c>
      <c r="DP21" s="53">
        <v>2.5</v>
      </c>
      <c r="DQ21" s="53">
        <v>2.5</v>
      </c>
      <c r="DR21" s="53">
        <v>2.5</v>
      </c>
      <c r="DS21" s="53">
        <v>2.5</v>
      </c>
      <c r="DT21" s="53">
        <v>2.5</v>
      </c>
      <c r="DU21" s="53">
        <v>2.5</v>
      </c>
      <c r="DV21" s="53">
        <v>2.5</v>
      </c>
      <c r="DW21" s="53">
        <v>2.5</v>
      </c>
      <c r="DX21" s="53">
        <v>2.5</v>
      </c>
      <c r="DY21" s="53">
        <v>2.5</v>
      </c>
      <c r="DZ21" s="53">
        <v>2.5</v>
      </c>
      <c r="EA21" s="53">
        <v>2.5</v>
      </c>
      <c r="EB21" s="93">
        <f t="shared" si="10"/>
        <v>30</v>
      </c>
      <c r="EC21" s="53">
        <v>2.5</v>
      </c>
      <c r="ED21" s="53">
        <v>2.5</v>
      </c>
      <c r="EE21" s="53">
        <v>2.5</v>
      </c>
      <c r="EF21" s="53">
        <v>2.5</v>
      </c>
      <c r="EG21" s="53">
        <v>2.5</v>
      </c>
      <c r="EH21" s="53">
        <v>2.5</v>
      </c>
      <c r="EI21" s="53">
        <v>2.5</v>
      </c>
      <c r="EJ21" s="53">
        <v>2.5</v>
      </c>
      <c r="EK21" s="53">
        <v>2.5</v>
      </c>
      <c r="EL21" s="53">
        <v>2.5</v>
      </c>
      <c r="EM21" s="53">
        <v>2.5</v>
      </c>
      <c r="EN21" s="53">
        <v>2.5</v>
      </c>
      <c r="EO21" s="93">
        <f t="shared" si="12"/>
        <v>30</v>
      </c>
      <c r="EP21" s="53">
        <v>2.5</v>
      </c>
      <c r="EQ21" s="53">
        <v>2.5</v>
      </c>
      <c r="ER21" s="53">
        <v>2.5</v>
      </c>
      <c r="ES21" s="53">
        <v>2.5</v>
      </c>
      <c r="ET21" s="53">
        <v>2.5</v>
      </c>
      <c r="EU21" s="53">
        <v>2.5</v>
      </c>
      <c r="EV21" s="53">
        <v>2.5</v>
      </c>
      <c r="EW21" s="53">
        <v>2.5</v>
      </c>
      <c r="EX21" s="53">
        <v>2.5</v>
      </c>
      <c r="EY21" s="53">
        <v>2.5</v>
      </c>
      <c r="EZ21" s="53">
        <v>2.5</v>
      </c>
      <c r="FA21" s="53">
        <v>2.5</v>
      </c>
      <c r="FB21" s="93">
        <f t="shared" si="13"/>
        <v>30</v>
      </c>
      <c r="FC21" s="53">
        <v>2.5</v>
      </c>
      <c r="FD21" s="53">
        <v>2.5</v>
      </c>
      <c r="FE21" s="53">
        <v>2.5</v>
      </c>
      <c r="FF21" s="53">
        <v>2.5</v>
      </c>
      <c r="FG21" s="53">
        <v>2.5</v>
      </c>
      <c r="FH21" s="53">
        <v>2.5</v>
      </c>
      <c r="FI21" s="53">
        <v>2.5</v>
      </c>
      <c r="FJ21" s="53">
        <v>2.5</v>
      </c>
      <c r="FK21" s="53">
        <v>2.5</v>
      </c>
      <c r="FL21" s="53">
        <v>2.5</v>
      </c>
      <c r="FM21" s="53">
        <v>2.5</v>
      </c>
      <c r="FN21" s="53">
        <v>2.5</v>
      </c>
      <c r="FO21" s="93">
        <f t="shared" si="14"/>
        <v>30</v>
      </c>
      <c r="FP21" s="53">
        <v>2.5</v>
      </c>
      <c r="FQ21" s="53">
        <v>2.5</v>
      </c>
      <c r="FR21" s="53">
        <v>2.5</v>
      </c>
      <c r="FS21" s="53">
        <v>2.5</v>
      </c>
      <c r="FT21" s="53">
        <v>2.5</v>
      </c>
      <c r="FU21" s="53">
        <v>2.5</v>
      </c>
      <c r="FV21" s="53">
        <v>2.5</v>
      </c>
      <c r="FW21" s="53">
        <v>2.5</v>
      </c>
      <c r="FX21" s="53">
        <v>2.5</v>
      </c>
      <c r="FY21" s="53">
        <v>2.5</v>
      </c>
      <c r="FZ21" s="53">
        <v>2.5</v>
      </c>
      <c r="GA21" s="53">
        <v>2.5</v>
      </c>
      <c r="GB21" s="93">
        <f t="shared" si="15"/>
        <v>30</v>
      </c>
      <c r="GC21" s="53">
        <v>2.5</v>
      </c>
      <c r="GD21" s="53">
        <v>2.5</v>
      </c>
      <c r="GE21" s="53">
        <v>2.5</v>
      </c>
      <c r="GF21" s="53">
        <v>2.5</v>
      </c>
      <c r="GG21" s="53">
        <v>2.5</v>
      </c>
      <c r="GH21" s="53">
        <v>2.5</v>
      </c>
      <c r="GI21" s="53">
        <v>2.5</v>
      </c>
      <c r="GJ21" s="53">
        <v>2.5</v>
      </c>
      <c r="GK21" s="53">
        <v>2.5</v>
      </c>
      <c r="GL21" s="53">
        <v>2.5</v>
      </c>
      <c r="GM21" s="53">
        <v>2.5</v>
      </c>
      <c r="GN21" s="53">
        <v>2.5</v>
      </c>
      <c r="GO21" s="93">
        <f t="shared" si="16"/>
        <v>30</v>
      </c>
      <c r="GP21" s="53">
        <v>2.5</v>
      </c>
      <c r="GQ21" s="53">
        <v>2.5</v>
      </c>
      <c r="GR21" s="53">
        <v>2.5</v>
      </c>
      <c r="GS21" s="53">
        <v>2.5</v>
      </c>
      <c r="GT21" s="53">
        <v>2.5</v>
      </c>
      <c r="GU21" s="53">
        <v>2.5</v>
      </c>
      <c r="GV21" s="53">
        <v>2.5</v>
      </c>
      <c r="GW21" s="53">
        <v>2.5</v>
      </c>
      <c r="GX21" s="53">
        <v>2.5</v>
      </c>
      <c r="GY21" s="53">
        <v>2.5</v>
      </c>
      <c r="GZ21" s="53">
        <v>2.5</v>
      </c>
      <c r="HA21" s="53">
        <v>2.5</v>
      </c>
      <c r="HB21" s="93">
        <f t="shared" si="18"/>
        <v>30</v>
      </c>
      <c r="HC21" s="49">
        <f t="shared" si="19"/>
        <v>436</v>
      </c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95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95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95"/>
      <c r="IP21" s="53"/>
      <c r="IQ21" s="53"/>
      <c r="IR21" s="53"/>
      <c r="IS21" s="53"/>
      <c r="IT21" s="53"/>
      <c r="IU21" s="53"/>
      <c r="IV21" s="53"/>
    </row>
    <row r="22" spans="1:256" s="56" customFormat="1" ht="14.25" outlineLevel="2">
      <c r="A22" s="30"/>
      <c r="B22" s="98" t="s">
        <v>388</v>
      </c>
      <c r="C22" s="53"/>
      <c r="D22" s="53"/>
      <c r="E22" s="53"/>
      <c r="F22" s="53"/>
      <c r="G22" s="53"/>
      <c r="H22" s="53"/>
      <c r="I22" s="53"/>
      <c r="J22" s="53"/>
      <c r="K22" s="53">
        <v>2</v>
      </c>
      <c r="L22" s="53">
        <v>2</v>
      </c>
      <c r="M22" s="53">
        <v>2</v>
      </c>
      <c r="N22" s="53">
        <v>2</v>
      </c>
      <c r="O22" s="93">
        <f t="shared" si="20"/>
        <v>8</v>
      </c>
      <c r="P22" s="53">
        <v>2</v>
      </c>
      <c r="Q22" s="53">
        <v>2</v>
      </c>
      <c r="R22" s="53">
        <v>2</v>
      </c>
      <c r="S22" s="53">
        <v>2</v>
      </c>
      <c r="T22" s="53">
        <v>2</v>
      </c>
      <c r="U22" s="53">
        <v>2</v>
      </c>
      <c r="V22" s="53">
        <v>2</v>
      </c>
      <c r="W22" s="53">
        <v>2</v>
      </c>
      <c r="X22" s="53">
        <v>4</v>
      </c>
      <c r="Y22" s="53">
        <v>4</v>
      </c>
      <c r="Z22" s="53">
        <v>4</v>
      </c>
      <c r="AA22" s="53">
        <v>4</v>
      </c>
      <c r="AB22" s="93">
        <f t="shared" si="22"/>
        <v>32</v>
      </c>
      <c r="AC22" s="53">
        <v>4</v>
      </c>
      <c r="AD22" s="53">
        <v>4</v>
      </c>
      <c r="AE22" s="53">
        <v>4</v>
      </c>
      <c r="AF22" s="53">
        <v>4</v>
      </c>
      <c r="AG22" s="53">
        <v>4</v>
      </c>
      <c r="AH22" s="53">
        <v>4</v>
      </c>
      <c r="AI22" s="53">
        <v>4</v>
      </c>
      <c r="AJ22" s="53">
        <v>4</v>
      </c>
      <c r="AK22" s="53">
        <v>5</v>
      </c>
      <c r="AL22" s="53">
        <v>5</v>
      </c>
      <c r="AM22" s="53">
        <v>5</v>
      </c>
      <c r="AN22" s="53">
        <v>5</v>
      </c>
      <c r="AO22" s="93">
        <f t="shared" si="0"/>
        <v>52</v>
      </c>
      <c r="AP22" s="53">
        <v>5</v>
      </c>
      <c r="AQ22" s="53">
        <v>5</v>
      </c>
      <c r="AR22" s="53">
        <v>5</v>
      </c>
      <c r="AS22" s="53">
        <v>5</v>
      </c>
      <c r="AT22" s="53">
        <v>5</v>
      </c>
      <c r="AU22" s="53">
        <v>5</v>
      </c>
      <c r="AV22" s="53">
        <v>5</v>
      </c>
      <c r="AW22" s="53">
        <v>5</v>
      </c>
      <c r="AX22" s="53">
        <v>5</v>
      </c>
      <c r="AY22" s="53">
        <v>5</v>
      </c>
      <c r="AZ22" s="53">
        <v>5</v>
      </c>
      <c r="BA22" s="53">
        <v>5</v>
      </c>
      <c r="BB22" s="93">
        <f t="shared" si="2"/>
        <v>60</v>
      </c>
      <c r="BC22" s="53">
        <v>5</v>
      </c>
      <c r="BD22" s="53">
        <v>5</v>
      </c>
      <c r="BE22" s="53">
        <v>5</v>
      </c>
      <c r="BF22" s="53">
        <v>5</v>
      </c>
      <c r="BG22" s="53">
        <v>5</v>
      </c>
      <c r="BH22" s="53">
        <v>5</v>
      </c>
      <c r="BI22" s="53">
        <v>5</v>
      </c>
      <c r="BJ22" s="53">
        <v>5</v>
      </c>
      <c r="BK22" s="53">
        <v>5</v>
      </c>
      <c r="BL22" s="53">
        <v>5</v>
      </c>
      <c r="BM22" s="53">
        <v>5</v>
      </c>
      <c r="BN22" s="53">
        <v>5</v>
      </c>
      <c r="BO22" s="93">
        <f t="shared" si="4"/>
        <v>60</v>
      </c>
      <c r="BP22" s="53">
        <v>5</v>
      </c>
      <c r="BQ22" s="53">
        <v>5</v>
      </c>
      <c r="BR22" s="53">
        <v>5</v>
      </c>
      <c r="BS22" s="53">
        <v>5</v>
      </c>
      <c r="BT22" s="53">
        <v>5</v>
      </c>
      <c r="BU22" s="53">
        <v>5</v>
      </c>
      <c r="BV22" s="53">
        <v>5</v>
      </c>
      <c r="BW22" s="53">
        <v>5</v>
      </c>
      <c r="BX22" s="53">
        <v>5</v>
      </c>
      <c r="BY22" s="53">
        <v>5</v>
      </c>
      <c r="BZ22" s="53">
        <v>5</v>
      </c>
      <c r="CA22" s="53">
        <v>5</v>
      </c>
      <c r="CB22" s="93">
        <f t="shared" si="5"/>
        <v>60</v>
      </c>
      <c r="CC22" s="53">
        <v>5</v>
      </c>
      <c r="CD22" s="53">
        <v>5</v>
      </c>
      <c r="CE22" s="53">
        <v>5</v>
      </c>
      <c r="CF22" s="53">
        <v>5</v>
      </c>
      <c r="CG22" s="53">
        <v>5</v>
      </c>
      <c r="CH22" s="53">
        <v>5</v>
      </c>
      <c r="CI22" s="53">
        <v>5</v>
      </c>
      <c r="CJ22" s="53">
        <v>5</v>
      </c>
      <c r="CK22" s="53">
        <v>5</v>
      </c>
      <c r="CL22" s="53">
        <v>5</v>
      </c>
      <c r="CM22" s="53">
        <v>5</v>
      </c>
      <c r="CN22" s="53">
        <v>5</v>
      </c>
      <c r="CO22" s="93">
        <f t="shared" si="6"/>
        <v>60</v>
      </c>
      <c r="CP22" s="53">
        <v>5</v>
      </c>
      <c r="CQ22" s="53">
        <v>5</v>
      </c>
      <c r="CR22" s="53">
        <v>5</v>
      </c>
      <c r="CS22" s="53">
        <v>5</v>
      </c>
      <c r="CT22" s="53">
        <v>5</v>
      </c>
      <c r="CU22" s="53">
        <v>5</v>
      </c>
      <c r="CV22" s="53">
        <v>5</v>
      </c>
      <c r="CW22" s="53">
        <v>5</v>
      </c>
      <c r="CX22" s="53">
        <v>5</v>
      </c>
      <c r="CY22" s="53">
        <v>5</v>
      </c>
      <c r="CZ22" s="53">
        <v>5</v>
      </c>
      <c r="DA22" s="53">
        <v>5</v>
      </c>
      <c r="DB22" s="93">
        <f t="shared" si="7"/>
        <v>60</v>
      </c>
      <c r="DC22" s="53">
        <v>5</v>
      </c>
      <c r="DD22" s="53">
        <v>5</v>
      </c>
      <c r="DE22" s="53">
        <v>5</v>
      </c>
      <c r="DF22" s="53">
        <v>5</v>
      </c>
      <c r="DG22" s="53">
        <v>5</v>
      </c>
      <c r="DH22" s="53">
        <v>5</v>
      </c>
      <c r="DI22" s="53">
        <v>5</v>
      </c>
      <c r="DJ22" s="53">
        <v>5</v>
      </c>
      <c r="DK22" s="53">
        <v>5</v>
      </c>
      <c r="DL22" s="53">
        <v>5</v>
      </c>
      <c r="DM22" s="53">
        <v>5</v>
      </c>
      <c r="DN22" s="53">
        <v>5</v>
      </c>
      <c r="DO22" s="93">
        <f t="shared" si="8"/>
        <v>60</v>
      </c>
      <c r="DP22" s="53">
        <v>5</v>
      </c>
      <c r="DQ22" s="53">
        <v>5</v>
      </c>
      <c r="DR22" s="53">
        <v>5</v>
      </c>
      <c r="DS22" s="53">
        <v>5</v>
      </c>
      <c r="DT22" s="53">
        <v>5</v>
      </c>
      <c r="DU22" s="53">
        <v>5</v>
      </c>
      <c r="DV22" s="53">
        <v>5</v>
      </c>
      <c r="DW22" s="53">
        <v>5</v>
      </c>
      <c r="DX22" s="53">
        <v>5</v>
      </c>
      <c r="DY22" s="53">
        <v>5</v>
      </c>
      <c r="DZ22" s="53">
        <v>5</v>
      </c>
      <c r="EA22" s="53">
        <v>5</v>
      </c>
      <c r="EB22" s="93">
        <f t="shared" si="10"/>
        <v>60</v>
      </c>
      <c r="EC22" s="53">
        <v>5</v>
      </c>
      <c r="ED22" s="53">
        <v>5</v>
      </c>
      <c r="EE22" s="53">
        <v>5</v>
      </c>
      <c r="EF22" s="53">
        <v>5</v>
      </c>
      <c r="EG22" s="53">
        <v>5</v>
      </c>
      <c r="EH22" s="53">
        <v>5</v>
      </c>
      <c r="EI22" s="53">
        <v>5</v>
      </c>
      <c r="EJ22" s="53">
        <v>5</v>
      </c>
      <c r="EK22" s="53">
        <v>5</v>
      </c>
      <c r="EL22" s="53">
        <v>5</v>
      </c>
      <c r="EM22" s="53">
        <v>5</v>
      </c>
      <c r="EN22" s="53">
        <v>5</v>
      </c>
      <c r="EO22" s="93">
        <f t="shared" si="12"/>
        <v>60</v>
      </c>
      <c r="EP22" s="53">
        <v>5</v>
      </c>
      <c r="EQ22" s="53">
        <v>5</v>
      </c>
      <c r="ER22" s="53">
        <v>5</v>
      </c>
      <c r="ES22" s="53">
        <v>5</v>
      </c>
      <c r="ET22" s="53">
        <v>5</v>
      </c>
      <c r="EU22" s="53">
        <v>5</v>
      </c>
      <c r="EV22" s="53">
        <v>5</v>
      </c>
      <c r="EW22" s="53">
        <v>5</v>
      </c>
      <c r="EX22" s="53">
        <v>5</v>
      </c>
      <c r="EY22" s="53">
        <v>5</v>
      </c>
      <c r="EZ22" s="53">
        <v>5</v>
      </c>
      <c r="FA22" s="53">
        <v>5</v>
      </c>
      <c r="FB22" s="93">
        <f t="shared" si="13"/>
        <v>60</v>
      </c>
      <c r="FC22" s="53">
        <v>5</v>
      </c>
      <c r="FD22" s="53">
        <v>5</v>
      </c>
      <c r="FE22" s="53">
        <v>5</v>
      </c>
      <c r="FF22" s="53">
        <v>5</v>
      </c>
      <c r="FG22" s="53">
        <v>5</v>
      </c>
      <c r="FH22" s="53">
        <v>5</v>
      </c>
      <c r="FI22" s="53">
        <v>5</v>
      </c>
      <c r="FJ22" s="53">
        <v>5</v>
      </c>
      <c r="FK22" s="53">
        <v>5</v>
      </c>
      <c r="FL22" s="53">
        <v>5</v>
      </c>
      <c r="FM22" s="53">
        <v>5</v>
      </c>
      <c r="FN22" s="53">
        <v>5</v>
      </c>
      <c r="FO22" s="93">
        <f t="shared" si="14"/>
        <v>60</v>
      </c>
      <c r="FP22" s="53">
        <v>5</v>
      </c>
      <c r="FQ22" s="53">
        <v>5</v>
      </c>
      <c r="FR22" s="53">
        <v>5</v>
      </c>
      <c r="FS22" s="53">
        <v>5</v>
      </c>
      <c r="FT22" s="53">
        <v>5</v>
      </c>
      <c r="FU22" s="53">
        <v>5</v>
      </c>
      <c r="FV22" s="53">
        <v>5</v>
      </c>
      <c r="FW22" s="53">
        <v>5</v>
      </c>
      <c r="FX22" s="53">
        <v>5</v>
      </c>
      <c r="FY22" s="53">
        <v>5</v>
      </c>
      <c r="FZ22" s="53">
        <v>5</v>
      </c>
      <c r="GA22" s="53">
        <v>5</v>
      </c>
      <c r="GB22" s="93">
        <f t="shared" si="15"/>
        <v>60</v>
      </c>
      <c r="GC22" s="53">
        <v>5</v>
      </c>
      <c r="GD22" s="53">
        <v>5</v>
      </c>
      <c r="GE22" s="53">
        <v>5</v>
      </c>
      <c r="GF22" s="53">
        <v>5</v>
      </c>
      <c r="GG22" s="53">
        <v>5</v>
      </c>
      <c r="GH22" s="53">
        <v>5</v>
      </c>
      <c r="GI22" s="53">
        <v>5</v>
      </c>
      <c r="GJ22" s="53">
        <v>5</v>
      </c>
      <c r="GK22" s="53">
        <v>5</v>
      </c>
      <c r="GL22" s="53">
        <v>5</v>
      </c>
      <c r="GM22" s="53">
        <v>5</v>
      </c>
      <c r="GN22" s="53">
        <v>5</v>
      </c>
      <c r="GO22" s="93">
        <f t="shared" si="16"/>
        <v>60</v>
      </c>
      <c r="GP22" s="53">
        <v>5</v>
      </c>
      <c r="GQ22" s="53">
        <v>5</v>
      </c>
      <c r="GR22" s="53">
        <v>5</v>
      </c>
      <c r="GS22" s="53">
        <v>5</v>
      </c>
      <c r="GT22" s="53">
        <v>5</v>
      </c>
      <c r="GU22" s="53">
        <v>5</v>
      </c>
      <c r="GV22" s="53">
        <v>5</v>
      </c>
      <c r="GW22" s="53">
        <v>5</v>
      </c>
      <c r="GX22" s="53">
        <v>5</v>
      </c>
      <c r="GY22" s="53">
        <v>5</v>
      </c>
      <c r="GZ22" s="53">
        <v>5</v>
      </c>
      <c r="HA22" s="53">
        <v>5</v>
      </c>
      <c r="HB22" s="93">
        <f t="shared" si="18"/>
        <v>60</v>
      </c>
      <c r="HC22" s="49">
        <f t="shared" si="19"/>
        <v>872</v>
      </c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95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95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95"/>
      <c r="IP22" s="53"/>
      <c r="IQ22" s="53"/>
      <c r="IR22" s="53"/>
      <c r="IS22" s="53"/>
      <c r="IT22" s="53"/>
      <c r="IU22" s="53"/>
      <c r="IV22" s="53"/>
    </row>
    <row r="23" spans="1:256" s="51" customFormat="1" ht="14.25" outlineLevel="2">
      <c r="A23" s="48"/>
      <c r="B23" s="97" t="s">
        <v>389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93"/>
      <c r="P23" s="54"/>
      <c r="Q23" s="54"/>
      <c r="R23" s="54"/>
      <c r="S23" s="54"/>
      <c r="T23" s="54"/>
      <c r="U23" s="54"/>
      <c r="V23" s="54"/>
      <c r="W23" s="54"/>
      <c r="X23" s="54">
        <f>X24+X25+X26+X27+X28+X29</f>
        <v>291.27044</v>
      </c>
      <c r="Y23" s="54">
        <f>Y24+Y25+Y26+Y27+Y28+Y29</f>
        <v>291.27044</v>
      </c>
      <c r="Z23" s="54">
        <f>Z24+Z25+Z26+Z27+Z28+Z29</f>
        <v>291.27044</v>
      </c>
      <c r="AA23" s="54">
        <f>AA24+AA25+AA26+AA27+AA28+AA29</f>
        <v>291.27044</v>
      </c>
      <c r="AB23" s="93">
        <f t="shared" si="22"/>
        <v>1165.08176</v>
      </c>
      <c r="AC23" s="54">
        <f aca="true" t="shared" si="33" ref="AC23:FN23">AC24+AC25+AC26+AC27+AC28</f>
        <v>291.27044</v>
      </c>
      <c r="AD23" s="54">
        <f t="shared" si="33"/>
        <v>291.27044</v>
      </c>
      <c r="AE23" s="54">
        <f t="shared" si="33"/>
        <v>291.27044</v>
      </c>
      <c r="AF23" s="54">
        <f t="shared" si="33"/>
        <v>291.27044</v>
      </c>
      <c r="AG23" s="54">
        <f t="shared" si="33"/>
        <v>291.27044</v>
      </c>
      <c r="AH23" s="54">
        <f t="shared" si="33"/>
        <v>291.27044</v>
      </c>
      <c r="AI23" s="54">
        <f t="shared" si="33"/>
        <v>291.27044</v>
      </c>
      <c r="AJ23" s="54">
        <f t="shared" si="33"/>
        <v>291.27044</v>
      </c>
      <c r="AK23" s="54">
        <f t="shared" si="33"/>
        <v>321.6817768</v>
      </c>
      <c r="AL23" s="54">
        <f t="shared" si="33"/>
        <v>320.9553092</v>
      </c>
      <c r="AM23" s="54">
        <f t="shared" si="33"/>
        <v>336.7232085</v>
      </c>
      <c r="AN23" s="54">
        <f t="shared" si="33"/>
        <v>354.12999525</v>
      </c>
      <c r="AO23" s="93">
        <f t="shared" si="0"/>
        <v>3663.6538097500006</v>
      </c>
      <c r="AP23" s="54">
        <f>AP24+AP25+AP26+AP27+AP28</f>
        <v>349.249307</v>
      </c>
      <c r="AQ23" s="54">
        <f>AQ24+AQ25+AQ26+AQ27+AQ28</f>
        <v>339.3355284</v>
      </c>
      <c r="AR23" s="54">
        <f t="shared" si="33"/>
        <v>326.6105068</v>
      </c>
      <c r="AS23" s="54">
        <f t="shared" si="33"/>
        <v>330.63410235000003</v>
      </c>
      <c r="AT23" s="54">
        <f t="shared" si="33"/>
        <v>294.25211</v>
      </c>
      <c r="AU23" s="54">
        <f t="shared" si="33"/>
        <v>295.4845689</v>
      </c>
      <c r="AV23" s="54">
        <f t="shared" si="33"/>
        <v>297.80438780000003</v>
      </c>
      <c r="AW23" s="54">
        <f t="shared" si="33"/>
        <v>301.3493106</v>
      </c>
      <c r="AX23" s="54">
        <f t="shared" si="33"/>
        <v>338.2216488</v>
      </c>
      <c r="AY23" s="54">
        <f t="shared" si="33"/>
        <v>356.6001757</v>
      </c>
      <c r="AZ23" s="54">
        <f t="shared" si="33"/>
        <v>395.8176584</v>
      </c>
      <c r="BA23" s="54">
        <f t="shared" si="33"/>
        <v>417.8072005</v>
      </c>
      <c r="BB23" s="93">
        <f t="shared" si="2"/>
        <v>4043.16650525</v>
      </c>
      <c r="BC23" s="54">
        <f t="shared" si="33"/>
        <v>387.9625105</v>
      </c>
      <c r="BD23" s="54">
        <f t="shared" si="33"/>
        <v>392.944018</v>
      </c>
      <c r="BE23" s="54">
        <f t="shared" si="33"/>
        <v>379.6906687</v>
      </c>
      <c r="BF23" s="54">
        <f t="shared" si="33"/>
        <v>373.65244855000003</v>
      </c>
      <c r="BG23" s="54">
        <f t="shared" si="33"/>
        <v>298.12204</v>
      </c>
      <c r="BH23" s="54">
        <f t="shared" si="33"/>
        <v>306.0434756</v>
      </c>
      <c r="BI23" s="54">
        <f t="shared" si="33"/>
        <v>305.3090756</v>
      </c>
      <c r="BJ23" s="54">
        <f t="shared" si="33"/>
        <v>316.67480150000006</v>
      </c>
      <c r="BK23" s="54">
        <f t="shared" si="33"/>
        <v>328.7101192</v>
      </c>
      <c r="BL23" s="54">
        <f t="shared" si="33"/>
        <v>356.6001757</v>
      </c>
      <c r="BM23" s="54">
        <f t="shared" si="33"/>
        <v>395.8176584</v>
      </c>
      <c r="BN23" s="54">
        <f t="shared" si="33"/>
        <v>417.8073705</v>
      </c>
      <c r="BO23" s="93">
        <f t="shared" si="4"/>
        <v>4259.33436225</v>
      </c>
      <c r="BP23" s="54">
        <f t="shared" si="33"/>
        <v>387.9625105</v>
      </c>
      <c r="BQ23" s="54">
        <f t="shared" si="33"/>
        <v>392.944018</v>
      </c>
      <c r="BR23" s="54">
        <f t="shared" si="33"/>
        <v>382.50756455</v>
      </c>
      <c r="BS23" s="54">
        <f t="shared" si="33"/>
        <v>373.65244855000003</v>
      </c>
      <c r="BT23" s="54">
        <f t="shared" si="33"/>
        <v>298.12204</v>
      </c>
      <c r="BU23" s="54">
        <f t="shared" si="33"/>
        <v>303.3564567</v>
      </c>
      <c r="BV23" s="54">
        <f t="shared" si="33"/>
        <v>305.3090756</v>
      </c>
      <c r="BW23" s="54">
        <f t="shared" si="33"/>
        <v>318.81274165</v>
      </c>
      <c r="BX23" s="54">
        <f t="shared" si="33"/>
        <v>326.33223680000003</v>
      </c>
      <c r="BY23" s="54">
        <f t="shared" si="33"/>
        <v>356.6001757</v>
      </c>
      <c r="BZ23" s="54">
        <f t="shared" si="33"/>
        <v>395.8176584</v>
      </c>
      <c r="CA23" s="54">
        <f t="shared" si="33"/>
        <v>417.8073705</v>
      </c>
      <c r="CB23" s="93">
        <f t="shared" si="5"/>
        <v>4259.22429695</v>
      </c>
      <c r="CC23" s="54">
        <f t="shared" si="33"/>
        <v>387.9625105</v>
      </c>
      <c r="CD23" s="54">
        <f t="shared" si="33"/>
        <v>392.944018</v>
      </c>
      <c r="CE23" s="54">
        <f t="shared" si="33"/>
        <v>382.50756455</v>
      </c>
      <c r="CF23" s="54">
        <f t="shared" si="33"/>
        <v>373.65244855000003</v>
      </c>
      <c r="CG23" s="54">
        <f t="shared" si="33"/>
        <v>298.12204</v>
      </c>
      <c r="CH23" s="54">
        <f t="shared" si="33"/>
        <v>303.3564567</v>
      </c>
      <c r="CI23" s="54">
        <f t="shared" si="33"/>
        <v>305.3090756</v>
      </c>
      <c r="CJ23" s="54">
        <f t="shared" si="33"/>
        <v>318.81274165</v>
      </c>
      <c r="CK23" s="54">
        <f t="shared" si="33"/>
        <v>328.7101192</v>
      </c>
      <c r="CL23" s="54">
        <f t="shared" si="33"/>
        <v>354.04844705</v>
      </c>
      <c r="CM23" s="54">
        <f t="shared" si="33"/>
        <v>395.8176584</v>
      </c>
      <c r="CN23" s="54">
        <f t="shared" si="33"/>
        <v>417.8073705</v>
      </c>
      <c r="CO23" s="93">
        <f t="shared" si="6"/>
        <v>4259.0504507000005</v>
      </c>
      <c r="CP23" s="54">
        <f t="shared" si="33"/>
        <v>387.9625105</v>
      </c>
      <c r="CQ23" s="54">
        <f t="shared" si="33"/>
        <v>392.944018</v>
      </c>
      <c r="CR23" s="54">
        <f t="shared" si="33"/>
        <v>382.50756455</v>
      </c>
      <c r="CS23" s="54">
        <f t="shared" si="33"/>
        <v>373.65244855000003</v>
      </c>
      <c r="CT23" s="54">
        <f t="shared" si="33"/>
        <v>298.12204</v>
      </c>
      <c r="CU23" s="54">
        <f t="shared" si="33"/>
        <v>306.0434756</v>
      </c>
      <c r="CV23" s="54">
        <f t="shared" si="33"/>
        <v>302.80565670000004</v>
      </c>
      <c r="CW23" s="54">
        <f t="shared" si="33"/>
        <v>318.81274165</v>
      </c>
      <c r="CX23" s="54">
        <f t="shared" si="33"/>
        <v>328.7101192</v>
      </c>
      <c r="CY23" s="54">
        <f t="shared" si="33"/>
        <v>356.6001757</v>
      </c>
      <c r="CZ23" s="54">
        <f t="shared" si="33"/>
        <v>392.61612055</v>
      </c>
      <c r="DA23" s="54">
        <f t="shared" si="33"/>
        <v>417.8073705</v>
      </c>
      <c r="DB23" s="93">
        <f t="shared" si="7"/>
        <v>4258.584241500001</v>
      </c>
      <c r="DC23" s="54">
        <f t="shared" si="33"/>
        <v>387.9625105</v>
      </c>
      <c r="DD23" s="54">
        <f t="shared" si="33"/>
        <v>392.944018</v>
      </c>
      <c r="DE23" s="54">
        <f t="shared" si="33"/>
        <v>382.50756455</v>
      </c>
      <c r="DF23" s="54">
        <f t="shared" si="33"/>
        <v>373.65244855000003</v>
      </c>
      <c r="DG23" s="54">
        <f t="shared" si="33"/>
        <v>298.12204</v>
      </c>
      <c r="DH23" s="54">
        <f t="shared" si="33"/>
        <v>306.0434756</v>
      </c>
      <c r="DI23" s="54">
        <f t="shared" si="33"/>
        <v>302.80565670000004</v>
      </c>
      <c r="DJ23" s="54">
        <f t="shared" si="33"/>
        <v>318.81274165</v>
      </c>
      <c r="DK23" s="54">
        <f t="shared" si="33"/>
        <v>328.7101192</v>
      </c>
      <c r="DL23" s="54">
        <f t="shared" si="33"/>
        <v>356.6001757</v>
      </c>
      <c r="DM23" s="54">
        <f t="shared" si="33"/>
        <v>395.8176584</v>
      </c>
      <c r="DN23" s="54">
        <f t="shared" si="33"/>
        <v>417.8073705</v>
      </c>
      <c r="DO23" s="93">
        <f t="shared" si="8"/>
        <v>4261.785779350001</v>
      </c>
      <c r="DP23" s="54">
        <f t="shared" si="33"/>
        <v>387.9625105</v>
      </c>
      <c r="DQ23" s="54">
        <f t="shared" si="33"/>
        <v>392.944018</v>
      </c>
      <c r="DR23" s="54">
        <f t="shared" si="33"/>
        <v>379.6906687</v>
      </c>
      <c r="DS23" s="54">
        <f t="shared" si="33"/>
        <v>373.65244855000003</v>
      </c>
      <c r="DT23" s="54">
        <f t="shared" si="33"/>
        <v>298.12204</v>
      </c>
      <c r="DU23" s="54">
        <f t="shared" si="33"/>
        <v>306.0434756</v>
      </c>
      <c r="DV23" s="54">
        <f t="shared" si="33"/>
        <v>305.3090756</v>
      </c>
      <c r="DW23" s="54">
        <f t="shared" si="33"/>
        <v>316.67480150000006</v>
      </c>
      <c r="DX23" s="54">
        <f t="shared" si="33"/>
        <v>328.7101192</v>
      </c>
      <c r="DY23" s="54">
        <f t="shared" si="33"/>
        <v>356.6001757</v>
      </c>
      <c r="DZ23" s="54">
        <f t="shared" si="33"/>
        <v>395.8176584</v>
      </c>
      <c r="EA23" s="54">
        <f t="shared" si="33"/>
        <v>417.8073705</v>
      </c>
      <c r="EB23" s="93">
        <f t="shared" si="10"/>
        <v>4259.33436225</v>
      </c>
      <c r="EC23" s="54">
        <f t="shared" si="33"/>
        <v>387.9625105</v>
      </c>
      <c r="ED23" s="54">
        <f t="shared" si="33"/>
        <v>392.944018</v>
      </c>
      <c r="EE23" s="54">
        <f t="shared" si="33"/>
        <v>379.6906687</v>
      </c>
      <c r="EF23" s="54">
        <f t="shared" si="33"/>
        <v>373.65244855000003</v>
      </c>
      <c r="EG23" s="54">
        <f t="shared" si="33"/>
        <v>298.12204</v>
      </c>
      <c r="EH23" s="54">
        <f t="shared" si="33"/>
        <v>306.0434756</v>
      </c>
      <c r="EI23" s="54">
        <f t="shared" si="33"/>
        <v>305.3090756</v>
      </c>
      <c r="EJ23" s="54">
        <f t="shared" si="33"/>
        <v>318.81274165</v>
      </c>
      <c r="EK23" s="54">
        <f t="shared" si="33"/>
        <v>326.33223680000003</v>
      </c>
      <c r="EL23" s="54">
        <f t="shared" si="33"/>
        <v>356.6001757</v>
      </c>
      <c r="EM23" s="54">
        <f t="shared" si="33"/>
        <v>395.8176584</v>
      </c>
      <c r="EN23" s="54">
        <f t="shared" si="33"/>
        <v>417.8073705</v>
      </c>
      <c r="EO23" s="93">
        <f t="shared" si="12"/>
        <v>4259.09442</v>
      </c>
      <c r="EP23" s="54">
        <f t="shared" si="33"/>
        <v>387.9625105</v>
      </c>
      <c r="EQ23" s="54">
        <f t="shared" si="33"/>
        <v>392.944018</v>
      </c>
      <c r="ER23" s="54">
        <f t="shared" si="33"/>
        <v>382.50756455</v>
      </c>
      <c r="ES23" s="54">
        <f t="shared" si="33"/>
        <v>373.65244855000003</v>
      </c>
      <c r="ET23" s="54">
        <f t="shared" si="33"/>
        <v>298.12204</v>
      </c>
      <c r="EU23" s="54">
        <f t="shared" si="33"/>
        <v>303.3564567</v>
      </c>
      <c r="EV23" s="54">
        <f t="shared" si="33"/>
        <v>305.3090756</v>
      </c>
      <c r="EW23" s="54">
        <f t="shared" si="33"/>
        <v>318.81274165</v>
      </c>
      <c r="EX23" s="54">
        <f t="shared" si="33"/>
        <v>326.59157560000006</v>
      </c>
      <c r="EY23" s="54">
        <f t="shared" si="33"/>
        <v>357.26704689999997</v>
      </c>
      <c r="EZ23" s="54">
        <f t="shared" si="33"/>
        <v>396.70682</v>
      </c>
      <c r="FA23" s="54">
        <f t="shared" si="33"/>
        <v>418.91882250000003</v>
      </c>
      <c r="FB23" s="93">
        <f t="shared" si="13"/>
        <v>4262.151120550001</v>
      </c>
      <c r="FC23" s="54">
        <f t="shared" si="33"/>
        <v>387.9625105</v>
      </c>
      <c r="FD23" s="54">
        <f t="shared" si="33"/>
        <v>392.944018</v>
      </c>
      <c r="FE23" s="54">
        <f t="shared" si="33"/>
        <v>382.50756455</v>
      </c>
      <c r="FF23" s="54">
        <f t="shared" si="33"/>
        <v>373.65244855000003</v>
      </c>
      <c r="FG23" s="54">
        <f t="shared" si="33"/>
        <v>298.12204</v>
      </c>
      <c r="FH23" s="54">
        <f t="shared" si="33"/>
        <v>303.3564567</v>
      </c>
      <c r="FI23" s="54">
        <f t="shared" si="33"/>
        <v>305.3090756</v>
      </c>
      <c r="FJ23" s="54">
        <f t="shared" si="33"/>
        <v>318.81274165</v>
      </c>
      <c r="FK23" s="54">
        <f t="shared" si="33"/>
        <v>328.7101192</v>
      </c>
      <c r="FL23" s="54">
        <f t="shared" si="33"/>
        <v>354.04844705</v>
      </c>
      <c r="FM23" s="54">
        <f t="shared" si="33"/>
        <v>395.8176584</v>
      </c>
      <c r="FN23" s="54">
        <f t="shared" si="33"/>
        <v>417.8073705</v>
      </c>
      <c r="FO23" s="93">
        <f t="shared" si="14"/>
        <v>4259.0504507000005</v>
      </c>
      <c r="FP23" s="54">
        <f aca="true" t="shared" si="34" ref="FP23:GA23">FP24+FP25+FP26+FP27+FP28</f>
        <v>387.9625105</v>
      </c>
      <c r="FQ23" s="54">
        <f t="shared" si="34"/>
        <v>392.944018</v>
      </c>
      <c r="FR23" s="54">
        <f t="shared" si="34"/>
        <v>382.50756455</v>
      </c>
      <c r="FS23" s="54">
        <f t="shared" si="34"/>
        <v>373.65244855000003</v>
      </c>
      <c r="FT23" s="54">
        <f t="shared" si="34"/>
        <v>298.12204</v>
      </c>
      <c r="FU23" s="54">
        <f t="shared" si="34"/>
        <v>306.0434756</v>
      </c>
      <c r="FV23" s="54">
        <f t="shared" si="34"/>
        <v>302.80565670000004</v>
      </c>
      <c r="FW23" s="54">
        <f t="shared" si="34"/>
        <v>318.81274165</v>
      </c>
      <c r="FX23" s="54">
        <f t="shared" si="34"/>
        <v>328.7101192</v>
      </c>
      <c r="FY23" s="54">
        <f t="shared" si="34"/>
        <v>356.6001757</v>
      </c>
      <c r="FZ23" s="54">
        <f t="shared" si="34"/>
        <v>392.61612055</v>
      </c>
      <c r="GA23" s="54">
        <f t="shared" si="34"/>
        <v>417.8073705</v>
      </c>
      <c r="GB23" s="93">
        <f t="shared" si="15"/>
        <v>4258.584241500001</v>
      </c>
      <c r="GC23" s="54">
        <f aca="true" t="shared" si="35" ref="GC23:GN23">GC24+GC25+GC26+GC27+GC28</f>
        <v>387.9625105</v>
      </c>
      <c r="GD23" s="54">
        <f t="shared" si="35"/>
        <v>392.944018</v>
      </c>
      <c r="GE23" s="54">
        <f t="shared" si="35"/>
        <v>382.50756455</v>
      </c>
      <c r="GF23" s="54">
        <f t="shared" si="35"/>
        <v>373.65244855000003</v>
      </c>
      <c r="GG23" s="54">
        <f t="shared" si="35"/>
        <v>298.12204</v>
      </c>
      <c r="GH23" s="54">
        <f t="shared" si="35"/>
        <v>306.0434756</v>
      </c>
      <c r="GI23" s="54">
        <f t="shared" si="35"/>
        <v>305.3090756</v>
      </c>
      <c r="GJ23" s="54">
        <f t="shared" si="35"/>
        <v>316.67480150000006</v>
      </c>
      <c r="GK23" s="54">
        <f t="shared" si="35"/>
        <v>328.7101192</v>
      </c>
      <c r="GL23" s="54">
        <f t="shared" si="35"/>
        <v>356.6001757</v>
      </c>
      <c r="GM23" s="54">
        <f t="shared" si="35"/>
        <v>395.8176584</v>
      </c>
      <c r="GN23" s="54">
        <f t="shared" si="35"/>
        <v>417.8073705</v>
      </c>
      <c r="GO23" s="93">
        <f t="shared" si="16"/>
        <v>4262.151258100001</v>
      </c>
      <c r="GP23" s="54">
        <f aca="true" t="shared" si="36" ref="GP23:HA23">GP24+GP25+GP26+GP27+GP28</f>
        <v>387.9625105</v>
      </c>
      <c r="GQ23" s="54">
        <f t="shared" si="36"/>
        <v>392.944018</v>
      </c>
      <c r="GR23" s="54">
        <f t="shared" si="36"/>
        <v>379.6906687</v>
      </c>
      <c r="GS23" s="54">
        <f t="shared" si="36"/>
        <v>373.65244855000003</v>
      </c>
      <c r="GT23" s="54">
        <f t="shared" si="36"/>
        <v>298.12204</v>
      </c>
      <c r="GU23" s="54">
        <f t="shared" si="36"/>
        <v>306.0434756</v>
      </c>
      <c r="GV23" s="54">
        <f t="shared" si="36"/>
        <v>305.3090756</v>
      </c>
      <c r="GW23" s="54">
        <f t="shared" si="36"/>
        <v>316.67480150000006</v>
      </c>
      <c r="GX23" s="54">
        <f t="shared" si="36"/>
        <v>328.7101192</v>
      </c>
      <c r="GY23" s="54">
        <f t="shared" si="36"/>
        <v>356.6001757</v>
      </c>
      <c r="GZ23" s="54">
        <f t="shared" si="36"/>
        <v>395.8176584</v>
      </c>
      <c r="HA23" s="54">
        <f t="shared" si="36"/>
        <v>417.8073705</v>
      </c>
      <c r="HB23" s="93">
        <f t="shared" si="18"/>
        <v>4259.33436225</v>
      </c>
      <c r="HC23" s="49">
        <f t="shared" si="19"/>
        <v>59989.58142110001</v>
      </c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93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93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93"/>
      <c r="IP23" s="54"/>
      <c r="IQ23" s="54"/>
      <c r="IR23" s="54"/>
      <c r="IS23" s="54"/>
      <c r="IT23" s="54"/>
      <c r="IU23" s="54"/>
      <c r="IV23" s="54"/>
    </row>
    <row r="24" spans="2:256" ht="14.25" outlineLevel="3">
      <c r="B24" s="98" t="s">
        <v>381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93"/>
      <c r="P24" s="53"/>
      <c r="Q24" s="53"/>
      <c r="R24" s="53"/>
      <c r="S24" s="53"/>
      <c r="T24" s="53"/>
      <c r="U24" s="53"/>
      <c r="V24" s="53"/>
      <c r="W24" s="53"/>
      <c r="X24" s="53">
        <f>('Штатное расписание'!V10+'Штатное расписание'!V11)*2/1000</f>
        <v>281.27044</v>
      </c>
      <c r="Y24" s="53">
        <f>('Штатное расписание'!V10+'Штатное расписание'!V11)*2/1000</f>
        <v>281.27044</v>
      </c>
      <c r="Z24" s="53">
        <f>('Штатное расписание'!V10+'Штатное расписание'!V11)*2/1000</f>
        <v>281.27044</v>
      </c>
      <c r="AA24" s="53">
        <f>('Штатное расписание'!V10+'Штатное расписание'!V11)*2/1000</f>
        <v>281.27044</v>
      </c>
      <c r="AB24" s="93">
        <f t="shared" si="22"/>
        <v>1125.08176</v>
      </c>
      <c r="AC24" s="53">
        <f>('Штатное расписание'!V10+'Штатное расписание'!V11)*2/1000</f>
        <v>281.27044</v>
      </c>
      <c r="AD24" s="53">
        <f>('Штатное расписание'!V10+'Штатное расписание'!V11)*2/1000</f>
        <v>281.27044</v>
      </c>
      <c r="AE24" s="53">
        <f>('Штатное расписание'!V10+'Штатное расписание'!V11)*2/1000</f>
        <v>281.27044</v>
      </c>
      <c r="AF24" s="53">
        <f>('Штатное расписание'!V10+'Штатное расписание'!V11)*2/1000</f>
        <v>281.27044</v>
      </c>
      <c r="AG24" s="53">
        <f>('Штатное расписание'!V10+'Штатное расписание'!V11)*2/1000</f>
        <v>281.27044</v>
      </c>
      <c r="AH24" s="53">
        <f>('Штатное расписание'!V10+'Штатное расписание'!V11)*2/1000</f>
        <v>281.27044</v>
      </c>
      <c r="AI24" s="53">
        <f>('Штатное расписание'!V10+'Штатное расписание'!V11)*2/1000</f>
        <v>281.27044</v>
      </c>
      <c r="AJ24" s="53">
        <f>('Штатное расписание'!V10+'Штатное расписание'!V11)*2/1000</f>
        <v>281.27044</v>
      </c>
      <c r="AK24" s="53">
        <f>('Штатное расписание'!V10+'Штатное расписание'!V11)*2/1000</f>
        <v>281.27044</v>
      </c>
      <c r="AL24" s="53">
        <f>('Штатное расписание'!V10+'Штатное расписание'!V11)*2/1000</f>
        <v>281.27044</v>
      </c>
      <c r="AM24" s="53">
        <f>('Штатное расписание'!V10+'Штатное расписание'!V11)*2/1000</f>
        <v>281.27044</v>
      </c>
      <c r="AN24" s="53">
        <f>('Штатное расписание'!V10+'Штатное расписание'!V11)*2/1000</f>
        <v>281.27044</v>
      </c>
      <c r="AO24" s="93">
        <f t="shared" si="0"/>
        <v>3375.245280000001</v>
      </c>
      <c r="AP24" s="53">
        <f>('Штатное расписание'!V10+'Штатное расписание'!V11)*2/1000</f>
        <v>281.27044</v>
      </c>
      <c r="AQ24" s="53">
        <f>('Штатное расписание'!V10+'Штатное расписание'!V11)*2/1000</f>
        <v>281.27044</v>
      </c>
      <c r="AR24" s="53">
        <f>('Штатное расписание'!V10+'Штатное расписание'!V11)*2/1000</f>
        <v>281.27044</v>
      </c>
      <c r="AS24" s="53">
        <f>('Штатное расписание'!V10+'Штатное расписание'!V11)*2/1000</f>
        <v>281.27044</v>
      </c>
      <c r="AT24" s="53">
        <f>('Штатное расписание'!V10+'Штатное расписание'!V11)*2/1000</f>
        <v>281.27044</v>
      </c>
      <c r="AU24" s="53">
        <f>('Штатное расписание'!V10+'Штатное расписание'!V11)*2/1000</f>
        <v>281.27044</v>
      </c>
      <c r="AV24" s="53">
        <f>('Штатное расписание'!V10+'Штатное расписание'!V11)*2/1000</f>
        <v>281.27044</v>
      </c>
      <c r="AW24" s="53">
        <f>('Штатное расписание'!V10+'Штатное расписание'!V11)*2/1000</f>
        <v>281.27044</v>
      </c>
      <c r="AX24" s="53">
        <f>('Штатное расписание'!V10+'Штатное расписание'!V11)*2/1000</f>
        <v>281.27044</v>
      </c>
      <c r="AY24" s="53">
        <f>('Штатное расписание'!V10+'Штатное расписание'!V11)*2/1000</f>
        <v>281.27044</v>
      </c>
      <c r="AZ24" s="53">
        <f>('Штатное расписание'!V10+'Штатное расписание'!V11)*2/1000</f>
        <v>281.27044</v>
      </c>
      <c r="BA24" s="53">
        <f>('Штатное расписание'!V10+'Штатное расписание'!V11)*2/1000</f>
        <v>281.27044</v>
      </c>
      <c r="BB24" s="93">
        <f t="shared" si="2"/>
        <v>3375.245280000001</v>
      </c>
      <c r="BC24" s="53">
        <f>('Штатное расписание'!V10+'Штатное расписание'!V11)*2/1000</f>
        <v>281.27044</v>
      </c>
      <c r="BD24" s="53">
        <f>('Штатное расписание'!V10+'Штатное расписание'!V11)*2/1000</f>
        <v>281.27044</v>
      </c>
      <c r="BE24" s="53">
        <f>('Штатное расписание'!V10+'Штатное расписание'!V11)*2/1000</f>
        <v>281.27044</v>
      </c>
      <c r="BF24" s="53">
        <f>('Штатное расписание'!V10+'Штатное расписание'!V11)*2/1000</f>
        <v>281.27044</v>
      </c>
      <c r="BG24" s="53">
        <f>('Штатное расписание'!V10+'Штатное расписание'!V11)*2/1000</f>
        <v>281.27044</v>
      </c>
      <c r="BH24" s="53">
        <f>('Штатное расписание'!V10+'Штатное расписание'!V11)*2/1000</f>
        <v>281.27044</v>
      </c>
      <c r="BI24" s="53">
        <f>('Штатное расписание'!V10+'Штатное расписание'!V11)*2/1000</f>
        <v>281.27044</v>
      </c>
      <c r="BJ24" s="53">
        <f>('Штатное расписание'!V10+'Штатное расписание'!V11)*2/1000</f>
        <v>281.27044</v>
      </c>
      <c r="BK24" s="53">
        <f>('Штатное расписание'!V10+'Штатное расписание'!V11)*2/1000</f>
        <v>281.27044</v>
      </c>
      <c r="BL24" s="53">
        <f>('Штатное расписание'!V10+'Штатное расписание'!V11)*2/1000</f>
        <v>281.27044</v>
      </c>
      <c r="BM24" s="53">
        <f>('Штатное расписание'!V10+'Штатное расписание'!V11)*2/1000</f>
        <v>281.27044</v>
      </c>
      <c r="BN24" s="53">
        <f>('Штатное расписание'!V10+'Штатное расписание'!V11)*2/1000</f>
        <v>281.27044</v>
      </c>
      <c r="BO24" s="93">
        <f t="shared" si="4"/>
        <v>3375.245280000001</v>
      </c>
      <c r="BP24" s="53">
        <f>('Штатное расписание'!V10+'Штатное расписание'!V11)*2/1000</f>
        <v>281.27044</v>
      </c>
      <c r="BQ24" s="53">
        <f>('Штатное расписание'!V10+'Штатное расписание'!V11)*2/1000</f>
        <v>281.27044</v>
      </c>
      <c r="BR24" s="53">
        <f>('Штатное расписание'!V10+'Штатное расписание'!V11)*2/1000</f>
        <v>281.27044</v>
      </c>
      <c r="BS24" s="53">
        <f>('Штатное расписание'!V10+'Штатное расписание'!V11)*2/1000</f>
        <v>281.27044</v>
      </c>
      <c r="BT24" s="53">
        <f>('Штатное расписание'!V10+'Штатное расписание'!V11)*2/1000</f>
        <v>281.27044</v>
      </c>
      <c r="BU24" s="53">
        <f>('Штатное расписание'!V10+'Штатное расписание'!V11)*2/1000</f>
        <v>281.27044</v>
      </c>
      <c r="BV24" s="53">
        <f>('Штатное расписание'!V10+'Штатное расписание'!V11)*2/1000</f>
        <v>281.27044</v>
      </c>
      <c r="BW24" s="53">
        <f>('Штатное расписание'!V10+'Штатное расписание'!V11)*2/1000</f>
        <v>281.27044</v>
      </c>
      <c r="BX24" s="53">
        <f>('Штатное расписание'!V10+'Штатное расписание'!V11)*2/1000</f>
        <v>281.27044</v>
      </c>
      <c r="BY24" s="53">
        <f>('Штатное расписание'!V10+'Штатное расписание'!V11)*2/1000</f>
        <v>281.27044</v>
      </c>
      <c r="BZ24" s="53">
        <f>('Штатное расписание'!V10+'Штатное расписание'!V11)*2/1000</f>
        <v>281.27044</v>
      </c>
      <c r="CA24" s="53">
        <f>('Штатное расписание'!V10+'Штатное расписание'!V11)*2/1000</f>
        <v>281.27044</v>
      </c>
      <c r="CB24" s="93">
        <f t="shared" si="5"/>
        <v>3375.245280000001</v>
      </c>
      <c r="CC24" s="53">
        <f>('Штатное расписание'!V10+'Штатное расписание'!V11)*2/1000</f>
        <v>281.27044</v>
      </c>
      <c r="CD24" s="53">
        <f>('Штатное расписание'!V10+'Штатное расписание'!V11)*2/1000</f>
        <v>281.27044</v>
      </c>
      <c r="CE24" s="53">
        <f>('Штатное расписание'!V10+'Штатное расписание'!V11)*2/1000</f>
        <v>281.27044</v>
      </c>
      <c r="CF24" s="53">
        <f>('Штатное расписание'!V10+'Штатное расписание'!V11)*2/1000</f>
        <v>281.27044</v>
      </c>
      <c r="CG24" s="53">
        <f>('Штатное расписание'!V10+'Штатное расписание'!V11)*2/1000</f>
        <v>281.27044</v>
      </c>
      <c r="CH24" s="53">
        <f>('Штатное расписание'!V10+'Штатное расписание'!V11)*2/1000</f>
        <v>281.27044</v>
      </c>
      <c r="CI24" s="53">
        <f>('Штатное расписание'!V10+'Штатное расписание'!V11)*2/1000</f>
        <v>281.27044</v>
      </c>
      <c r="CJ24" s="53">
        <f>('Штатное расписание'!V10+'Штатное расписание'!V11)*2/1000</f>
        <v>281.27044</v>
      </c>
      <c r="CK24" s="53">
        <f>('Штатное расписание'!V10+'Штатное расписание'!V11)*2/1000</f>
        <v>281.27044</v>
      </c>
      <c r="CL24" s="53">
        <f>('Штатное расписание'!V10+'Штатное расписание'!V11)*2/1000</f>
        <v>281.27044</v>
      </c>
      <c r="CM24" s="53">
        <f>('Штатное расписание'!V10+'Штатное расписание'!V11)*2/1000</f>
        <v>281.27044</v>
      </c>
      <c r="CN24" s="53">
        <f>('Штатное расписание'!V10+'Штатное расписание'!V11)*2/1000</f>
        <v>281.27044</v>
      </c>
      <c r="CO24" s="93">
        <f t="shared" si="6"/>
        <v>3375.245280000001</v>
      </c>
      <c r="CP24" s="53">
        <f>('Штатное расписание'!V10+'Штатное расписание'!V11)*2/1000</f>
        <v>281.27044</v>
      </c>
      <c r="CQ24" s="53">
        <f>('Штатное расписание'!V10+'Штатное расписание'!V11)*2/1000</f>
        <v>281.27044</v>
      </c>
      <c r="CR24" s="53">
        <f>('Штатное расписание'!V10+'Штатное расписание'!V11)*2/1000</f>
        <v>281.27044</v>
      </c>
      <c r="CS24" s="53">
        <f>('Штатное расписание'!V10+'Штатное расписание'!V11)*2/1000</f>
        <v>281.27044</v>
      </c>
      <c r="CT24" s="53">
        <f>('Штатное расписание'!V10+'Штатное расписание'!V11)*2/1000</f>
        <v>281.27044</v>
      </c>
      <c r="CU24" s="53">
        <f>('Штатное расписание'!V10+'Штатное расписание'!V11)*2/1000</f>
        <v>281.27044</v>
      </c>
      <c r="CV24" s="53">
        <f>('Штатное расписание'!V10+'Штатное расписание'!V11)*2/1000</f>
        <v>281.27044</v>
      </c>
      <c r="CW24" s="53">
        <f>('Штатное расписание'!V10+'Штатное расписание'!V11)*2/1000</f>
        <v>281.27044</v>
      </c>
      <c r="CX24" s="53">
        <f>('Штатное расписание'!V10+'Штатное расписание'!V11)*2/1000</f>
        <v>281.27044</v>
      </c>
      <c r="CY24" s="53">
        <f>('Штатное расписание'!V10+'Штатное расписание'!V11)*2/1000</f>
        <v>281.27044</v>
      </c>
      <c r="CZ24" s="53">
        <f>('Штатное расписание'!V10+'Штатное расписание'!V11)*2/1000</f>
        <v>281.27044</v>
      </c>
      <c r="DA24" s="53">
        <f>('Штатное расписание'!V10+'Штатное расписание'!V11)*2/1000</f>
        <v>281.27044</v>
      </c>
      <c r="DB24" s="93">
        <f t="shared" si="7"/>
        <v>3375.245280000001</v>
      </c>
      <c r="DC24" s="53">
        <f>('Штатное расписание'!V10+'Штатное расписание'!V11)*2/1000</f>
        <v>281.27044</v>
      </c>
      <c r="DD24" s="53">
        <f>('Штатное расписание'!V10+'Штатное расписание'!V11)*2/1000</f>
        <v>281.27044</v>
      </c>
      <c r="DE24" s="53">
        <f>('Штатное расписание'!V10+'Штатное расписание'!V11)*2/1000</f>
        <v>281.27044</v>
      </c>
      <c r="DF24" s="53">
        <f>('Штатное расписание'!V10+'Штатное расписание'!V11)*2/1000</f>
        <v>281.27044</v>
      </c>
      <c r="DG24" s="53">
        <f>('Штатное расписание'!V10+'Штатное расписание'!V11)*2/1000</f>
        <v>281.27044</v>
      </c>
      <c r="DH24" s="53">
        <f>('Штатное расписание'!V10+'Штатное расписание'!V11)*2/1000</f>
        <v>281.27044</v>
      </c>
      <c r="DI24" s="53">
        <f>('Штатное расписание'!V10+'Штатное расписание'!V11)*2/1000</f>
        <v>281.27044</v>
      </c>
      <c r="DJ24" s="53">
        <f>('Штатное расписание'!V10+'Штатное расписание'!V11)*2/1000</f>
        <v>281.27044</v>
      </c>
      <c r="DK24" s="53">
        <f>('Штатное расписание'!V10+'Штатное расписание'!V11)*2/1000</f>
        <v>281.27044</v>
      </c>
      <c r="DL24" s="53">
        <f>('Штатное расписание'!V10+'Штатное расписание'!V11)*2/1000</f>
        <v>281.27044</v>
      </c>
      <c r="DM24" s="53">
        <f>('Штатное расписание'!V10+'Штатное расписание'!V11)*2/1000</f>
        <v>281.27044</v>
      </c>
      <c r="DN24" s="53">
        <f>('Штатное расписание'!V10+'Штатное расписание'!V11)*2/1000</f>
        <v>281.27044</v>
      </c>
      <c r="DO24" s="93">
        <f t="shared" si="8"/>
        <v>3375.245280000001</v>
      </c>
      <c r="DP24" s="53">
        <f>('Штатное расписание'!V10+'Штатное расписание'!V11)*2/1000</f>
        <v>281.27044</v>
      </c>
      <c r="DQ24" s="53">
        <f>('Штатное расписание'!V10+'Штатное расписание'!V11)*2/1000</f>
        <v>281.27044</v>
      </c>
      <c r="DR24" s="53">
        <f>('Штатное расписание'!V10+'Штатное расписание'!V11)*2/1000</f>
        <v>281.27044</v>
      </c>
      <c r="DS24" s="53">
        <f>('Штатное расписание'!V10+'Штатное расписание'!V11)*2/1000</f>
        <v>281.27044</v>
      </c>
      <c r="DT24" s="53">
        <f>('Штатное расписание'!V10+'Штатное расписание'!V11)*2/1000</f>
        <v>281.27044</v>
      </c>
      <c r="DU24" s="53">
        <f>('Штатное расписание'!V10+'Штатное расписание'!V11)*2/1000</f>
        <v>281.27044</v>
      </c>
      <c r="DV24" s="53">
        <f>('Штатное расписание'!V10+'Штатное расписание'!V11)*2/1000</f>
        <v>281.27044</v>
      </c>
      <c r="DW24" s="53">
        <f>('Штатное расписание'!V10+'Штатное расписание'!V11)*2/1000</f>
        <v>281.27044</v>
      </c>
      <c r="DX24" s="53">
        <f>('Штатное расписание'!V10+'Штатное расписание'!V11)*2/1000</f>
        <v>281.27044</v>
      </c>
      <c r="DY24" s="53">
        <f>('Штатное расписание'!V10+'Штатное расписание'!V11)*2/1000</f>
        <v>281.27044</v>
      </c>
      <c r="DZ24" s="53">
        <f>('Штатное расписание'!V10+'Штатное расписание'!V11)*2/1000</f>
        <v>281.27044</v>
      </c>
      <c r="EA24" s="53">
        <f>('Штатное расписание'!V10+'Штатное расписание'!V11)*2/1000</f>
        <v>281.27044</v>
      </c>
      <c r="EB24" s="93">
        <f t="shared" si="10"/>
        <v>3375.245280000001</v>
      </c>
      <c r="EC24" s="53">
        <f>('Штатное расписание'!V10+'Штатное расписание'!V11)*2/1000</f>
        <v>281.27044</v>
      </c>
      <c r="ED24" s="53">
        <f>('Штатное расписание'!V10+'Штатное расписание'!V11)*2/1000</f>
        <v>281.27044</v>
      </c>
      <c r="EE24" s="53">
        <f>('Штатное расписание'!V10+'Штатное расписание'!V11)*2/1000</f>
        <v>281.27044</v>
      </c>
      <c r="EF24" s="53">
        <f>('Штатное расписание'!V10+'Штатное расписание'!V11)*2/1000</f>
        <v>281.27044</v>
      </c>
      <c r="EG24" s="53">
        <f>('Штатное расписание'!V10+'Штатное расписание'!V11)*2/1000</f>
        <v>281.27044</v>
      </c>
      <c r="EH24" s="53">
        <f>('Штатное расписание'!V10+'Штатное расписание'!V11)*2/1000</f>
        <v>281.27044</v>
      </c>
      <c r="EI24" s="53">
        <f>('Штатное расписание'!V10+'Штатное расписание'!V11)*2/1000</f>
        <v>281.27044</v>
      </c>
      <c r="EJ24" s="53">
        <f>('Штатное расписание'!V10+'Штатное расписание'!V11)*2/1000</f>
        <v>281.27044</v>
      </c>
      <c r="EK24" s="53">
        <f>('Штатное расписание'!V10+'Штатное расписание'!V11)*2/1000</f>
        <v>281.27044</v>
      </c>
      <c r="EL24" s="53">
        <f>('Штатное расписание'!V10+'Штатное расписание'!V11)*2/1000</f>
        <v>281.27044</v>
      </c>
      <c r="EM24" s="53">
        <f>('Штатное расписание'!V10+'Штатное расписание'!V11)*2/1000</f>
        <v>281.27044</v>
      </c>
      <c r="EN24" s="53">
        <f>('Штатное расписание'!V10+'Штатное расписание'!V11)*2/1000</f>
        <v>281.27044</v>
      </c>
      <c r="EO24" s="93">
        <f t="shared" si="12"/>
        <v>3375.245280000001</v>
      </c>
      <c r="EP24" s="53">
        <f>('Штатное расписание'!V10+'Штатное расписание'!V11)*2/1000</f>
        <v>281.27044</v>
      </c>
      <c r="EQ24" s="53">
        <f>('Штатное расписание'!V10+'Штатное расписание'!V11)*2/1000</f>
        <v>281.27044</v>
      </c>
      <c r="ER24" s="53">
        <f>('Штатное расписание'!V10+'Штатное расписание'!V11)*2/1000</f>
        <v>281.27044</v>
      </c>
      <c r="ES24" s="53">
        <f>('Штатное расписание'!V10+'Штатное расписание'!V11)*2/1000</f>
        <v>281.27044</v>
      </c>
      <c r="ET24" s="53">
        <f>('Штатное расписание'!V10+'Штатное расписание'!V11)*2/1000</f>
        <v>281.27044</v>
      </c>
      <c r="EU24" s="53">
        <f>('Штатное расписание'!V10+'Штатное расписание'!V11)*2/1000</f>
        <v>281.27044</v>
      </c>
      <c r="EV24" s="53">
        <f>('Штатное расписание'!V10+'Штатное расписание'!V11)*2/1000</f>
        <v>281.27044</v>
      </c>
      <c r="EW24" s="53">
        <f>('Штатное расписание'!V10+'Штатное расписание'!V11)*2/1000</f>
        <v>281.27044</v>
      </c>
      <c r="EX24" s="53">
        <f>('Штатное расписание'!V10+'Штатное расписание'!V11)*2/1000</f>
        <v>281.27044</v>
      </c>
      <c r="EY24" s="53">
        <f>('Штатное расписание'!V10+'Штатное расписание'!V11)*2/1000</f>
        <v>281.27044</v>
      </c>
      <c r="EZ24" s="53">
        <f>('Штатное расписание'!V10+'Штатное расписание'!V11)*2/1000</f>
        <v>281.27044</v>
      </c>
      <c r="FA24" s="53">
        <f>('Штатное расписание'!V10+'Штатное расписание'!V11)*2/1000</f>
        <v>281.27044</v>
      </c>
      <c r="FB24" s="93">
        <f t="shared" si="13"/>
        <v>3375.245280000001</v>
      </c>
      <c r="FC24" s="53">
        <f>('Штатное расписание'!V10+'Штатное расписание'!V11)*2/1000</f>
        <v>281.27044</v>
      </c>
      <c r="FD24" s="53">
        <f>('Штатное расписание'!V10+'Штатное расписание'!V11)*2/1000</f>
        <v>281.27044</v>
      </c>
      <c r="FE24" s="53">
        <f>('Штатное расписание'!V10+'Штатное расписание'!V11)*2/1000</f>
        <v>281.27044</v>
      </c>
      <c r="FF24" s="53">
        <f>('Штатное расписание'!V10+'Штатное расписание'!V11)*2/1000</f>
        <v>281.27044</v>
      </c>
      <c r="FG24" s="53">
        <f>('Штатное расписание'!V10+'Штатное расписание'!V11)*2/1000</f>
        <v>281.27044</v>
      </c>
      <c r="FH24" s="53">
        <f>('Штатное расписание'!V10+'Штатное расписание'!V11)*2/1000</f>
        <v>281.27044</v>
      </c>
      <c r="FI24" s="53">
        <f>('Штатное расписание'!V10+'Штатное расписание'!V11)*2/1000</f>
        <v>281.27044</v>
      </c>
      <c r="FJ24" s="53">
        <f>('Штатное расписание'!V10+'Штатное расписание'!V11)*2/1000</f>
        <v>281.27044</v>
      </c>
      <c r="FK24" s="53">
        <f>('Штатное расписание'!V10+'Штатное расписание'!V11)*2/1000</f>
        <v>281.27044</v>
      </c>
      <c r="FL24" s="53">
        <f>('Штатное расписание'!V10+'Штатное расписание'!V11)*2/1000</f>
        <v>281.27044</v>
      </c>
      <c r="FM24" s="53">
        <f>('Штатное расписание'!V10+'Штатное расписание'!V11)*2/1000</f>
        <v>281.27044</v>
      </c>
      <c r="FN24" s="53">
        <f>('Штатное расписание'!V10+'Штатное расписание'!V11)*2/1000</f>
        <v>281.27044</v>
      </c>
      <c r="FO24" s="93">
        <f t="shared" si="14"/>
        <v>3375.245280000001</v>
      </c>
      <c r="FP24" s="53">
        <f>('Штатное расписание'!V10+'Штатное расписание'!V11)*2/1000</f>
        <v>281.27044</v>
      </c>
      <c r="FQ24" s="53">
        <f>('Штатное расписание'!V10+'Штатное расписание'!V11)*2/1000</f>
        <v>281.27044</v>
      </c>
      <c r="FR24" s="53">
        <f>('Штатное расписание'!V10+'Штатное расписание'!V11)*2/1000</f>
        <v>281.27044</v>
      </c>
      <c r="FS24" s="53">
        <f>('Штатное расписание'!V10+'Штатное расписание'!V11)*2/1000</f>
        <v>281.27044</v>
      </c>
      <c r="FT24" s="53">
        <f>('Штатное расписание'!V10+'Штатное расписание'!V11)*2/1000</f>
        <v>281.27044</v>
      </c>
      <c r="FU24" s="53">
        <f>('Штатное расписание'!V10+'Штатное расписание'!V11)*2/1000</f>
        <v>281.27044</v>
      </c>
      <c r="FV24" s="53">
        <f>('Штатное расписание'!V10+'Штатное расписание'!V11)*2/1000</f>
        <v>281.27044</v>
      </c>
      <c r="FW24" s="53">
        <f>('Штатное расписание'!V10+'Штатное расписание'!V11)*2/1000</f>
        <v>281.27044</v>
      </c>
      <c r="FX24" s="53">
        <f>('Штатное расписание'!V10+'Штатное расписание'!V11)*2/1000</f>
        <v>281.27044</v>
      </c>
      <c r="FY24" s="53">
        <f>('Штатное расписание'!V10+'Штатное расписание'!V11)*2/1000</f>
        <v>281.27044</v>
      </c>
      <c r="FZ24" s="53">
        <f>('Штатное расписание'!V10+'Штатное расписание'!V11)*2/1000</f>
        <v>281.27044</v>
      </c>
      <c r="GA24" s="53">
        <f>('Штатное расписание'!V10+'Штатное расписание'!V11)*2/1000</f>
        <v>281.27044</v>
      </c>
      <c r="GB24" s="93">
        <f t="shared" si="15"/>
        <v>3375.245280000001</v>
      </c>
      <c r="GC24" s="53">
        <f>('Штатное расписание'!V10+'Штатное расписание'!V11)*2/1000</f>
        <v>281.27044</v>
      </c>
      <c r="GD24" s="53">
        <f>('Штатное расписание'!V10+'Штатное расписание'!V11)*2/1000</f>
        <v>281.27044</v>
      </c>
      <c r="GE24" s="53">
        <f>('Штатное расписание'!V10+'Штатное расписание'!V11)*2/1000</f>
        <v>281.27044</v>
      </c>
      <c r="GF24" s="53">
        <f>('Штатное расписание'!V10+'Штатное расписание'!V11)*2/1000</f>
        <v>281.27044</v>
      </c>
      <c r="GG24" s="53">
        <f>('Штатное расписание'!V10+'Штатное расписание'!V11)*2/1000</f>
        <v>281.27044</v>
      </c>
      <c r="GH24" s="53">
        <f>('Штатное расписание'!V10+'Штатное расписание'!V11)*2/1000</f>
        <v>281.27044</v>
      </c>
      <c r="GI24" s="53">
        <f>('Штатное расписание'!V10+'Штатное расписание'!V11)*2/1000</f>
        <v>281.27044</v>
      </c>
      <c r="GJ24" s="53">
        <f>('Штатное расписание'!V10+'Штатное расписание'!V11)*2/1000</f>
        <v>281.27044</v>
      </c>
      <c r="GK24" s="53">
        <f>('Штатное расписание'!V10+'Штатное расписание'!V11)*2/1000</f>
        <v>281.27044</v>
      </c>
      <c r="GL24" s="53">
        <f>('Штатное расписание'!V10+'Штатное расписание'!V11)*2/1000</f>
        <v>281.27044</v>
      </c>
      <c r="GM24" s="53">
        <f>('Штатное расписание'!V10+'Штатное расписание'!V11)*2/1000</f>
        <v>281.27044</v>
      </c>
      <c r="GN24" s="53">
        <f>('Штатное расписание'!V10+'Штатное расписание'!V11)*2/1000</f>
        <v>281.27044</v>
      </c>
      <c r="GO24" s="93">
        <f t="shared" si="16"/>
        <v>3375.245280000001</v>
      </c>
      <c r="GP24" s="53">
        <f>('Штатное расписание'!V10+'Штатное расписание'!V11)*2/1000</f>
        <v>281.27044</v>
      </c>
      <c r="GQ24" s="53">
        <f>('Штатное расписание'!V10+'Штатное расписание'!V11)*2/1000</f>
        <v>281.27044</v>
      </c>
      <c r="GR24" s="53">
        <f>('Штатное расписание'!V10+'Штатное расписание'!V11)*2/1000</f>
        <v>281.27044</v>
      </c>
      <c r="GS24" s="53">
        <f>('Штатное расписание'!V10+'Штатное расписание'!V11)*2/1000</f>
        <v>281.27044</v>
      </c>
      <c r="GT24" s="53">
        <f>('Штатное расписание'!V10+'Штатное расписание'!V11)*2/1000</f>
        <v>281.27044</v>
      </c>
      <c r="GU24" s="53">
        <f>('Штатное расписание'!V10+'Штатное расписание'!V11)*2/1000</f>
        <v>281.27044</v>
      </c>
      <c r="GV24" s="53">
        <f>('Штатное расписание'!V10+'Штатное расписание'!V11)*2/1000</f>
        <v>281.27044</v>
      </c>
      <c r="GW24" s="53">
        <f>('Штатное расписание'!V10+'Штатное расписание'!V11)*2/1000</f>
        <v>281.27044</v>
      </c>
      <c r="GX24" s="53">
        <f>('Штатное расписание'!V10+'Штатное расписание'!V11)*2/1000</f>
        <v>281.27044</v>
      </c>
      <c r="GY24" s="53">
        <f>('Штатное расписание'!V10+'Штатное расписание'!V11)*2/1000</f>
        <v>281.27044</v>
      </c>
      <c r="GZ24" s="53">
        <f>('Штатное расписание'!V10+'Штатное расписание'!V11)*2/1000</f>
        <v>281.27044</v>
      </c>
      <c r="HA24" s="53">
        <f>('Штатное расписание'!V10+'Штатное расписание'!V11)*2/1000</f>
        <v>281.27044</v>
      </c>
      <c r="HB24" s="93">
        <f t="shared" si="18"/>
        <v>3375.245280000001</v>
      </c>
      <c r="HC24" s="49">
        <f t="shared" si="19"/>
        <v>48378.51568000003</v>
      </c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9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9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93"/>
      <c r="IP24" s="53"/>
      <c r="IQ24" s="53"/>
      <c r="IR24" s="53"/>
      <c r="IS24" s="53"/>
      <c r="IT24" s="53"/>
      <c r="IU24" s="53"/>
      <c r="IV24" s="53"/>
    </row>
    <row r="25" spans="2:256" ht="14.25" outlineLevel="3">
      <c r="B25" s="98" t="s">
        <v>390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9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93"/>
      <c r="AC25" s="53"/>
      <c r="AD25" s="53"/>
      <c r="AE25" s="53"/>
      <c r="AF25" s="53"/>
      <c r="AG25" s="53"/>
      <c r="AH25" s="53"/>
      <c r="AI25" s="53"/>
      <c r="AJ25" s="53"/>
      <c r="AK25" s="53">
        <v>10</v>
      </c>
      <c r="AL25" s="53"/>
      <c r="AM25" s="53"/>
      <c r="AN25" s="53"/>
      <c r="AO25" s="93">
        <f t="shared" si="0"/>
        <v>10</v>
      </c>
      <c r="AP25" s="53"/>
      <c r="AQ25" s="53"/>
      <c r="AR25" s="53"/>
      <c r="AS25" s="53"/>
      <c r="AT25" s="53"/>
      <c r="AU25" s="53"/>
      <c r="AV25" s="53"/>
      <c r="AW25" s="53"/>
      <c r="AX25" s="53">
        <v>10</v>
      </c>
      <c r="AY25" s="53"/>
      <c r="AZ25" s="53"/>
      <c r="BA25" s="53"/>
      <c r="BB25" s="93">
        <f t="shared" si="2"/>
        <v>10</v>
      </c>
      <c r="BC25" s="53"/>
      <c r="BD25" s="53"/>
      <c r="BE25" s="53"/>
      <c r="BF25" s="53"/>
      <c r="BG25" s="53"/>
      <c r="BH25" s="53"/>
      <c r="BI25" s="53"/>
      <c r="BJ25" s="53"/>
      <c r="BK25" s="53">
        <v>10</v>
      </c>
      <c r="BL25" s="53"/>
      <c r="BM25" s="53"/>
      <c r="BN25" s="53"/>
      <c r="BO25" s="93">
        <f t="shared" si="4"/>
        <v>10</v>
      </c>
      <c r="BP25" s="53"/>
      <c r="BQ25" s="53"/>
      <c r="BR25" s="53"/>
      <c r="BS25" s="53"/>
      <c r="BT25" s="53"/>
      <c r="BU25" s="53"/>
      <c r="BV25" s="53"/>
      <c r="BW25" s="53"/>
      <c r="BX25" s="53">
        <v>10</v>
      </c>
      <c r="BY25" s="53"/>
      <c r="BZ25" s="53"/>
      <c r="CA25" s="53"/>
      <c r="CB25" s="93">
        <f t="shared" si="5"/>
        <v>10</v>
      </c>
      <c r="CC25" s="53"/>
      <c r="CD25" s="53"/>
      <c r="CE25" s="53"/>
      <c r="CF25" s="53"/>
      <c r="CG25" s="53"/>
      <c r="CH25" s="53"/>
      <c r="CI25" s="53"/>
      <c r="CJ25" s="53"/>
      <c r="CK25" s="53">
        <v>10</v>
      </c>
      <c r="CL25" s="53"/>
      <c r="CM25" s="53"/>
      <c r="CN25" s="53"/>
      <c r="CO25" s="93">
        <f t="shared" si="6"/>
        <v>10</v>
      </c>
      <c r="CP25" s="53"/>
      <c r="CQ25" s="53"/>
      <c r="CR25" s="53"/>
      <c r="CS25" s="53"/>
      <c r="CT25" s="53"/>
      <c r="CU25" s="53"/>
      <c r="CV25" s="53"/>
      <c r="CW25" s="53"/>
      <c r="CX25" s="53">
        <v>10</v>
      </c>
      <c r="CY25" s="53"/>
      <c r="CZ25" s="53"/>
      <c r="DA25" s="53"/>
      <c r="DB25" s="93">
        <f t="shared" si="7"/>
        <v>10</v>
      </c>
      <c r="DC25" s="53"/>
      <c r="DD25" s="53"/>
      <c r="DE25" s="53"/>
      <c r="DF25" s="53"/>
      <c r="DG25" s="53"/>
      <c r="DH25" s="53"/>
      <c r="DI25" s="53"/>
      <c r="DJ25" s="53"/>
      <c r="DK25" s="53">
        <v>10</v>
      </c>
      <c r="DL25" s="53"/>
      <c r="DM25" s="53"/>
      <c r="DN25" s="53"/>
      <c r="DO25" s="93">
        <f t="shared" si="8"/>
        <v>10</v>
      </c>
      <c r="DP25" s="53"/>
      <c r="DQ25" s="53"/>
      <c r="DR25" s="53"/>
      <c r="DS25" s="53"/>
      <c r="DT25" s="53"/>
      <c r="DU25" s="53"/>
      <c r="DV25" s="53"/>
      <c r="DW25" s="53"/>
      <c r="DX25" s="53">
        <v>10</v>
      </c>
      <c r="DY25" s="53"/>
      <c r="DZ25" s="53"/>
      <c r="EA25" s="53"/>
      <c r="EB25" s="93">
        <f t="shared" si="10"/>
        <v>10</v>
      </c>
      <c r="EC25" s="53"/>
      <c r="ED25" s="53"/>
      <c r="EE25" s="53"/>
      <c r="EF25" s="53"/>
      <c r="EG25" s="53"/>
      <c r="EH25" s="53"/>
      <c r="EI25" s="53"/>
      <c r="EJ25" s="53"/>
      <c r="EK25" s="53">
        <v>10</v>
      </c>
      <c r="EL25" s="53"/>
      <c r="EM25" s="53"/>
      <c r="EN25" s="53"/>
      <c r="EO25" s="93">
        <f t="shared" si="12"/>
        <v>10</v>
      </c>
      <c r="EP25" s="53"/>
      <c r="EQ25" s="53"/>
      <c r="ER25" s="53"/>
      <c r="ES25" s="53"/>
      <c r="ET25" s="53"/>
      <c r="EU25" s="53"/>
      <c r="EV25" s="53"/>
      <c r="EW25" s="53"/>
      <c r="EX25" s="53">
        <v>10</v>
      </c>
      <c r="EY25" s="53"/>
      <c r="EZ25" s="53"/>
      <c r="FA25" s="53"/>
      <c r="FB25" s="93">
        <f t="shared" si="13"/>
        <v>10</v>
      </c>
      <c r="FC25" s="53"/>
      <c r="FD25" s="53"/>
      <c r="FE25" s="53"/>
      <c r="FF25" s="53"/>
      <c r="FG25" s="53"/>
      <c r="FH25" s="53"/>
      <c r="FI25" s="53"/>
      <c r="FJ25" s="53"/>
      <c r="FK25" s="53">
        <v>10</v>
      </c>
      <c r="FL25" s="53"/>
      <c r="FM25" s="53"/>
      <c r="FN25" s="53"/>
      <c r="FO25" s="93">
        <f t="shared" si="14"/>
        <v>10</v>
      </c>
      <c r="FP25" s="53"/>
      <c r="FQ25" s="53"/>
      <c r="FR25" s="53"/>
      <c r="FS25" s="53"/>
      <c r="FT25" s="53"/>
      <c r="FU25" s="53"/>
      <c r="FV25" s="53"/>
      <c r="FW25" s="53"/>
      <c r="FX25" s="53">
        <v>10</v>
      </c>
      <c r="FY25" s="53"/>
      <c r="FZ25" s="53"/>
      <c r="GA25" s="53"/>
      <c r="GB25" s="93">
        <f t="shared" si="15"/>
        <v>10</v>
      </c>
      <c r="GC25" s="53"/>
      <c r="GD25" s="53"/>
      <c r="GE25" s="53"/>
      <c r="GF25" s="53"/>
      <c r="GG25" s="53"/>
      <c r="GH25" s="53"/>
      <c r="GI25" s="53"/>
      <c r="GJ25" s="53"/>
      <c r="GK25" s="53">
        <v>10</v>
      </c>
      <c r="GL25" s="53"/>
      <c r="GM25" s="53"/>
      <c r="GN25" s="53"/>
      <c r="GO25" s="93">
        <f t="shared" si="16"/>
        <v>10</v>
      </c>
      <c r="GP25" s="53"/>
      <c r="GQ25" s="53"/>
      <c r="GR25" s="53"/>
      <c r="GS25" s="53"/>
      <c r="GT25" s="53"/>
      <c r="GU25" s="53"/>
      <c r="GV25" s="53"/>
      <c r="GW25" s="53"/>
      <c r="GX25" s="53">
        <v>10</v>
      </c>
      <c r="GY25" s="53"/>
      <c r="GZ25" s="53"/>
      <c r="HA25" s="53"/>
      <c r="HB25" s="93">
        <f t="shared" si="18"/>
        <v>10</v>
      </c>
      <c r="HC25" s="49">
        <f t="shared" si="19"/>
        <v>140</v>
      </c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9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9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93"/>
      <c r="IP25" s="53"/>
      <c r="IQ25" s="53"/>
      <c r="IR25" s="53"/>
      <c r="IS25" s="53"/>
      <c r="IT25" s="53"/>
      <c r="IU25" s="53"/>
      <c r="IV25" s="53"/>
    </row>
    <row r="26" spans="2:256" ht="14.25" outlineLevel="3">
      <c r="B26" s="98" t="s">
        <v>382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9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93"/>
      <c r="AC26" s="53"/>
      <c r="AD26" s="53"/>
      <c r="AE26" s="53"/>
      <c r="AF26" s="53"/>
      <c r="AG26" s="53"/>
      <c r="AH26" s="53"/>
      <c r="AI26" s="53"/>
      <c r="AJ26" s="53"/>
      <c r="AK26" s="53">
        <v>3.76616</v>
      </c>
      <c r="AL26" s="53">
        <v>9.27104</v>
      </c>
      <c r="AM26" s="53">
        <v>13.43739</v>
      </c>
      <c r="AN26" s="53">
        <v>16.94674</v>
      </c>
      <c r="AO26" s="93">
        <f t="shared" si="0"/>
        <v>43.42133</v>
      </c>
      <c r="AP26" s="53">
        <v>17.8207</v>
      </c>
      <c r="AQ26" s="53">
        <v>15.05294</v>
      </c>
      <c r="AR26" s="53">
        <v>12.8049</v>
      </c>
      <c r="AS26" s="53">
        <v>8.62016</v>
      </c>
      <c r="AT26" s="53">
        <v>2.98167</v>
      </c>
      <c r="AU26" s="53">
        <v>1.52711</v>
      </c>
      <c r="AV26" s="53">
        <v>1.52711</v>
      </c>
      <c r="AW26" s="53">
        <v>1.52711</v>
      </c>
      <c r="AX26" s="53">
        <v>8.41662</v>
      </c>
      <c r="AY26" s="53">
        <v>19.39862</v>
      </c>
      <c r="AZ26" s="53">
        <v>27.71031</v>
      </c>
      <c r="BA26" s="53">
        <v>34.71113</v>
      </c>
      <c r="BB26" s="93">
        <f t="shared" si="2"/>
        <v>152.09837999999996</v>
      </c>
      <c r="BC26" s="53">
        <v>36.45482</v>
      </c>
      <c r="BD26" s="53">
        <v>30.93326</v>
      </c>
      <c r="BE26" s="53">
        <v>26.44852</v>
      </c>
      <c r="BF26" s="53">
        <v>18.10014</v>
      </c>
      <c r="BG26" s="53">
        <v>6.8516</v>
      </c>
      <c r="BH26" s="53">
        <v>4.02496</v>
      </c>
      <c r="BI26" s="53">
        <v>4.02496</v>
      </c>
      <c r="BJ26" s="53">
        <v>4.02496</v>
      </c>
      <c r="BK26" s="53">
        <v>8.41662</v>
      </c>
      <c r="BL26" s="53">
        <v>19.39862</v>
      </c>
      <c r="BM26" s="53">
        <v>27.71031</v>
      </c>
      <c r="BN26" s="53">
        <v>34.7113</v>
      </c>
      <c r="BO26" s="93">
        <f t="shared" si="4"/>
        <v>221.10006999999996</v>
      </c>
      <c r="BP26" s="53">
        <v>36.45482</v>
      </c>
      <c r="BQ26" s="53">
        <v>30.93326</v>
      </c>
      <c r="BR26" s="53">
        <v>26.44852</v>
      </c>
      <c r="BS26" s="53">
        <v>18.10014</v>
      </c>
      <c r="BT26" s="53">
        <v>6.8516</v>
      </c>
      <c r="BU26" s="53">
        <v>4.02496</v>
      </c>
      <c r="BV26" s="53">
        <v>4.02496</v>
      </c>
      <c r="BW26" s="53">
        <v>4.02496</v>
      </c>
      <c r="BX26" s="53">
        <v>8.41662</v>
      </c>
      <c r="BY26" s="53">
        <v>19.39862</v>
      </c>
      <c r="BZ26" s="53">
        <v>27.71031</v>
      </c>
      <c r="CA26" s="53">
        <v>34.7113</v>
      </c>
      <c r="CB26" s="93">
        <f t="shared" si="5"/>
        <v>221.10006999999996</v>
      </c>
      <c r="CC26" s="53">
        <v>36.45482</v>
      </c>
      <c r="CD26" s="53">
        <v>30.93326</v>
      </c>
      <c r="CE26" s="53">
        <v>26.44852</v>
      </c>
      <c r="CF26" s="53">
        <v>18.10014</v>
      </c>
      <c r="CG26" s="53">
        <v>6.8516</v>
      </c>
      <c r="CH26" s="53">
        <v>4.02496</v>
      </c>
      <c r="CI26" s="53">
        <v>4.02496</v>
      </c>
      <c r="CJ26" s="53">
        <v>4.02496</v>
      </c>
      <c r="CK26" s="53">
        <v>8.41662</v>
      </c>
      <c r="CL26" s="53">
        <v>19.39862</v>
      </c>
      <c r="CM26" s="53">
        <v>27.71031</v>
      </c>
      <c r="CN26" s="53">
        <v>34.7113</v>
      </c>
      <c r="CO26" s="93">
        <f t="shared" si="6"/>
        <v>221.10006999999996</v>
      </c>
      <c r="CP26" s="53">
        <v>36.45482</v>
      </c>
      <c r="CQ26" s="53">
        <v>30.93326</v>
      </c>
      <c r="CR26" s="53">
        <v>26.44852</v>
      </c>
      <c r="CS26" s="53">
        <v>18.10014</v>
      </c>
      <c r="CT26" s="53">
        <v>6.8516</v>
      </c>
      <c r="CU26" s="53">
        <v>4.02496</v>
      </c>
      <c r="CV26" s="53">
        <v>4.02496</v>
      </c>
      <c r="CW26" s="53">
        <v>4.02496</v>
      </c>
      <c r="CX26" s="53">
        <v>8.41662</v>
      </c>
      <c r="CY26" s="53">
        <v>19.39862</v>
      </c>
      <c r="CZ26" s="53">
        <v>27.71031</v>
      </c>
      <c r="DA26" s="53">
        <v>34.7113</v>
      </c>
      <c r="DB26" s="93">
        <f t="shared" si="7"/>
        <v>221.10006999999996</v>
      </c>
      <c r="DC26" s="53">
        <v>36.45482</v>
      </c>
      <c r="DD26" s="53">
        <v>30.93326</v>
      </c>
      <c r="DE26" s="53">
        <v>26.44852</v>
      </c>
      <c r="DF26" s="53">
        <v>18.10014</v>
      </c>
      <c r="DG26" s="53">
        <v>6.8516</v>
      </c>
      <c r="DH26" s="53">
        <v>4.02496</v>
      </c>
      <c r="DI26" s="53">
        <v>4.02496</v>
      </c>
      <c r="DJ26" s="53">
        <v>4.02496</v>
      </c>
      <c r="DK26" s="53">
        <v>8.41662</v>
      </c>
      <c r="DL26" s="53">
        <v>19.39862</v>
      </c>
      <c r="DM26" s="53">
        <v>27.71031</v>
      </c>
      <c r="DN26" s="53">
        <v>34.7113</v>
      </c>
      <c r="DO26" s="93">
        <f t="shared" si="8"/>
        <v>221.10006999999996</v>
      </c>
      <c r="DP26" s="53">
        <v>36.45482</v>
      </c>
      <c r="DQ26" s="53">
        <v>30.93326</v>
      </c>
      <c r="DR26" s="53">
        <v>26.44852</v>
      </c>
      <c r="DS26" s="53">
        <v>18.10014</v>
      </c>
      <c r="DT26" s="53">
        <v>6.8516</v>
      </c>
      <c r="DU26" s="53">
        <v>4.02496</v>
      </c>
      <c r="DV26" s="53">
        <v>4.02496</v>
      </c>
      <c r="DW26" s="53">
        <v>4.02496</v>
      </c>
      <c r="DX26" s="53">
        <v>8.41662</v>
      </c>
      <c r="DY26" s="53">
        <v>19.39862</v>
      </c>
      <c r="DZ26" s="53">
        <v>27.71031</v>
      </c>
      <c r="EA26" s="53">
        <v>34.7113</v>
      </c>
      <c r="EB26" s="93">
        <f t="shared" si="10"/>
        <v>221.10006999999996</v>
      </c>
      <c r="EC26" s="53">
        <v>36.45482</v>
      </c>
      <c r="ED26" s="53">
        <v>30.93326</v>
      </c>
      <c r="EE26" s="53">
        <v>26.44852</v>
      </c>
      <c r="EF26" s="53">
        <v>18.10014</v>
      </c>
      <c r="EG26" s="53">
        <v>6.8516</v>
      </c>
      <c r="EH26" s="53">
        <v>4.02496</v>
      </c>
      <c r="EI26" s="53">
        <v>4.02496</v>
      </c>
      <c r="EJ26" s="53">
        <v>4.02496</v>
      </c>
      <c r="EK26" s="53">
        <v>8.41662</v>
      </c>
      <c r="EL26" s="53">
        <v>19.39862</v>
      </c>
      <c r="EM26" s="53">
        <v>27.71031</v>
      </c>
      <c r="EN26" s="53">
        <v>34.7113</v>
      </c>
      <c r="EO26" s="93">
        <f t="shared" si="12"/>
        <v>221.10006999999996</v>
      </c>
      <c r="EP26" s="53">
        <v>36.45482</v>
      </c>
      <c r="EQ26" s="53">
        <v>30.93326</v>
      </c>
      <c r="ER26" s="53">
        <v>26.44852</v>
      </c>
      <c r="ES26" s="53">
        <v>18.10014</v>
      </c>
      <c r="ET26" s="53">
        <v>6.8516</v>
      </c>
      <c r="EU26" s="53">
        <v>4.02496</v>
      </c>
      <c r="EV26" s="53">
        <v>4.02496</v>
      </c>
      <c r="EW26" s="53">
        <v>4.02496</v>
      </c>
      <c r="EX26" s="53">
        <v>8.41662</v>
      </c>
      <c r="EY26" s="53">
        <v>19.39862</v>
      </c>
      <c r="EZ26" s="53">
        <v>27.71031</v>
      </c>
      <c r="FA26" s="53">
        <v>34.7113</v>
      </c>
      <c r="FB26" s="93">
        <f t="shared" si="13"/>
        <v>221.10006999999996</v>
      </c>
      <c r="FC26" s="53">
        <v>36.45482</v>
      </c>
      <c r="FD26" s="53">
        <v>30.93326</v>
      </c>
      <c r="FE26" s="53">
        <v>26.44852</v>
      </c>
      <c r="FF26" s="53">
        <v>18.10014</v>
      </c>
      <c r="FG26" s="53">
        <v>6.8516</v>
      </c>
      <c r="FH26" s="53">
        <v>4.02496</v>
      </c>
      <c r="FI26" s="53">
        <v>4.02496</v>
      </c>
      <c r="FJ26" s="53">
        <v>4.02496</v>
      </c>
      <c r="FK26" s="53">
        <v>8.41662</v>
      </c>
      <c r="FL26" s="53">
        <v>19.39862</v>
      </c>
      <c r="FM26" s="53">
        <v>27.71031</v>
      </c>
      <c r="FN26" s="53">
        <v>34.7113</v>
      </c>
      <c r="FO26" s="93">
        <f t="shared" si="14"/>
        <v>221.10006999999996</v>
      </c>
      <c r="FP26" s="53">
        <v>36.45482</v>
      </c>
      <c r="FQ26" s="53">
        <v>30.93326</v>
      </c>
      <c r="FR26" s="53">
        <v>26.44852</v>
      </c>
      <c r="FS26" s="53">
        <v>18.10014</v>
      </c>
      <c r="FT26" s="53">
        <v>6.8516</v>
      </c>
      <c r="FU26" s="53">
        <v>4.02496</v>
      </c>
      <c r="FV26" s="53">
        <v>4.02496</v>
      </c>
      <c r="FW26" s="53">
        <v>4.02496</v>
      </c>
      <c r="FX26" s="53">
        <v>8.41662</v>
      </c>
      <c r="FY26" s="53">
        <v>19.39862</v>
      </c>
      <c r="FZ26" s="53">
        <v>27.71031</v>
      </c>
      <c r="GA26" s="53">
        <v>34.7113</v>
      </c>
      <c r="GB26" s="93">
        <f t="shared" si="15"/>
        <v>221.10006999999996</v>
      </c>
      <c r="GC26" s="53">
        <v>36.45482</v>
      </c>
      <c r="GD26" s="53">
        <v>30.93326</v>
      </c>
      <c r="GE26" s="53">
        <v>26.44852</v>
      </c>
      <c r="GF26" s="53">
        <v>18.10014</v>
      </c>
      <c r="GG26" s="53">
        <v>6.8516</v>
      </c>
      <c r="GH26" s="53">
        <v>4.02496</v>
      </c>
      <c r="GI26" s="53">
        <v>4.02496</v>
      </c>
      <c r="GJ26" s="53">
        <v>4.02496</v>
      </c>
      <c r="GK26" s="53">
        <v>8.41662</v>
      </c>
      <c r="GL26" s="53">
        <v>19.39862</v>
      </c>
      <c r="GM26" s="53">
        <v>27.71031</v>
      </c>
      <c r="GN26" s="53">
        <v>34.7113</v>
      </c>
      <c r="GO26" s="93">
        <f t="shared" si="16"/>
        <v>221.10006999999996</v>
      </c>
      <c r="GP26" s="53">
        <v>36.45482</v>
      </c>
      <c r="GQ26" s="53">
        <v>30.93326</v>
      </c>
      <c r="GR26" s="53">
        <v>26.44852</v>
      </c>
      <c r="GS26" s="53">
        <v>18.10014</v>
      </c>
      <c r="GT26" s="53">
        <v>6.8516</v>
      </c>
      <c r="GU26" s="53">
        <v>4.02496</v>
      </c>
      <c r="GV26" s="53">
        <v>4.02496</v>
      </c>
      <c r="GW26" s="53">
        <v>4.02496</v>
      </c>
      <c r="GX26" s="53">
        <v>8.41662</v>
      </c>
      <c r="GY26" s="53">
        <v>19.39862</v>
      </c>
      <c r="GZ26" s="53">
        <v>27.71031</v>
      </c>
      <c r="HA26" s="53">
        <v>34.7113</v>
      </c>
      <c r="HB26" s="93">
        <f t="shared" si="18"/>
        <v>221.10006999999996</v>
      </c>
      <c r="HC26" s="49">
        <f t="shared" si="19"/>
        <v>2848.7205499999995</v>
      </c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9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9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93"/>
      <c r="IP26" s="53"/>
      <c r="IQ26" s="53"/>
      <c r="IR26" s="53"/>
      <c r="IS26" s="53"/>
      <c r="IT26" s="53"/>
      <c r="IU26" s="53"/>
      <c r="IV26" s="53"/>
    </row>
    <row r="27" spans="2:256" ht="27" outlineLevel="3">
      <c r="B27" s="98" t="s">
        <v>391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93"/>
      <c r="P27" s="53"/>
      <c r="Q27" s="53"/>
      <c r="R27" s="53"/>
      <c r="S27" s="53"/>
      <c r="T27" s="53"/>
      <c r="U27" s="53"/>
      <c r="V27" s="53"/>
      <c r="W27" s="53"/>
      <c r="X27" s="53">
        <v>10</v>
      </c>
      <c r="Y27" s="53">
        <v>10</v>
      </c>
      <c r="Z27" s="53">
        <v>10</v>
      </c>
      <c r="AA27" s="53">
        <v>10</v>
      </c>
      <c r="AB27" s="93">
        <f>AA27+Z27+Y27+X27+W27+V27+U27+T27+S27+R27+Q27+P27</f>
        <v>40</v>
      </c>
      <c r="AC27" s="53">
        <v>10</v>
      </c>
      <c r="AD27" s="53">
        <v>10</v>
      </c>
      <c r="AE27" s="53">
        <v>10</v>
      </c>
      <c r="AF27" s="53">
        <v>10</v>
      </c>
      <c r="AG27" s="53">
        <v>10</v>
      </c>
      <c r="AH27" s="53">
        <v>10</v>
      </c>
      <c r="AI27" s="53">
        <v>10</v>
      </c>
      <c r="AJ27" s="53">
        <v>10</v>
      </c>
      <c r="AK27" s="53">
        <v>10</v>
      </c>
      <c r="AL27" s="53">
        <v>10</v>
      </c>
      <c r="AM27" s="53">
        <v>10</v>
      </c>
      <c r="AN27" s="53">
        <v>10</v>
      </c>
      <c r="AO27" s="93">
        <f t="shared" si="0"/>
        <v>120</v>
      </c>
      <c r="AP27" s="53">
        <v>10</v>
      </c>
      <c r="AQ27" s="53">
        <v>10</v>
      </c>
      <c r="AR27" s="53">
        <v>10</v>
      </c>
      <c r="AS27" s="53">
        <v>10</v>
      </c>
      <c r="AT27" s="53">
        <v>10</v>
      </c>
      <c r="AU27" s="53">
        <v>10</v>
      </c>
      <c r="AV27" s="53">
        <v>10</v>
      </c>
      <c r="AW27" s="53">
        <v>10</v>
      </c>
      <c r="AX27" s="53">
        <v>10</v>
      </c>
      <c r="AY27" s="53">
        <v>10</v>
      </c>
      <c r="AZ27" s="53">
        <v>10</v>
      </c>
      <c r="BA27" s="53">
        <v>10</v>
      </c>
      <c r="BB27" s="93">
        <f t="shared" si="2"/>
        <v>120</v>
      </c>
      <c r="BC27" s="53">
        <v>10</v>
      </c>
      <c r="BD27" s="53">
        <v>10</v>
      </c>
      <c r="BE27" s="53">
        <v>10</v>
      </c>
      <c r="BF27" s="53">
        <v>10</v>
      </c>
      <c r="BG27" s="53">
        <v>10</v>
      </c>
      <c r="BH27" s="53">
        <v>10</v>
      </c>
      <c r="BI27" s="53">
        <v>10</v>
      </c>
      <c r="BJ27" s="53">
        <v>10</v>
      </c>
      <c r="BK27" s="53">
        <v>10</v>
      </c>
      <c r="BL27" s="53">
        <v>10</v>
      </c>
      <c r="BM27" s="53">
        <v>10</v>
      </c>
      <c r="BN27" s="53">
        <v>10</v>
      </c>
      <c r="BO27" s="93">
        <f t="shared" si="4"/>
        <v>120</v>
      </c>
      <c r="BP27" s="53">
        <v>10</v>
      </c>
      <c r="BQ27" s="53">
        <v>10</v>
      </c>
      <c r="BR27" s="53">
        <v>10</v>
      </c>
      <c r="BS27" s="53">
        <v>10</v>
      </c>
      <c r="BT27" s="53">
        <v>10</v>
      </c>
      <c r="BU27" s="53">
        <v>10</v>
      </c>
      <c r="BV27" s="53">
        <v>10</v>
      </c>
      <c r="BW27" s="53">
        <v>10</v>
      </c>
      <c r="BX27" s="53">
        <v>10</v>
      </c>
      <c r="BY27" s="53">
        <v>10</v>
      </c>
      <c r="BZ27" s="53">
        <v>10</v>
      </c>
      <c r="CA27" s="53">
        <v>10</v>
      </c>
      <c r="CB27" s="93">
        <f t="shared" si="5"/>
        <v>120</v>
      </c>
      <c r="CC27" s="53">
        <v>10</v>
      </c>
      <c r="CD27" s="53">
        <v>10</v>
      </c>
      <c r="CE27" s="53">
        <v>10</v>
      </c>
      <c r="CF27" s="53">
        <v>10</v>
      </c>
      <c r="CG27" s="53">
        <v>10</v>
      </c>
      <c r="CH27" s="53">
        <v>10</v>
      </c>
      <c r="CI27" s="53">
        <v>10</v>
      </c>
      <c r="CJ27" s="53">
        <v>10</v>
      </c>
      <c r="CK27" s="53">
        <v>10</v>
      </c>
      <c r="CL27" s="53">
        <v>10</v>
      </c>
      <c r="CM27" s="53">
        <v>10</v>
      </c>
      <c r="CN27" s="53">
        <v>10</v>
      </c>
      <c r="CO27" s="93">
        <f t="shared" si="6"/>
        <v>120</v>
      </c>
      <c r="CP27" s="53">
        <v>10</v>
      </c>
      <c r="CQ27" s="53">
        <v>10</v>
      </c>
      <c r="CR27" s="53">
        <v>10</v>
      </c>
      <c r="CS27" s="53">
        <v>10</v>
      </c>
      <c r="CT27" s="53">
        <v>10</v>
      </c>
      <c r="CU27" s="53">
        <v>10</v>
      </c>
      <c r="CV27" s="53">
        <v>10</v>
      </c>
      <c r="CW27" s="53">
        <v>10</v>
      </c>
      <c r="CX27" s="53">
        <v>10</v>
      </c>
      <c r="CY27" s="53">
        <v>10</v>
      </c>
      <c r="CZ27" s="53">
        <v>10</v>
      </c>
      <c r="DA27" s="53">
        <v>10</v>
      </c>
      <c r="DB27" s="93">
        <f t="shared" si="7"/>
        <v>120</v>
      </c>
      <c r="DC27" s="53">
        <v>10</v>
      </c>
      <c r="DD27" s="53">
        <v>10</v>
      </c>
      <c r="DE27" s="53">
        <v>10</v>
      </c>
      <c r="DF27" s="53">
        <v>10</v>
      </c>
      <c r="DG27" s="53">
        <v>10</v>
      </c>
      <c r="DH27" s="53">
        <v>10</v>
      </c>
      <c r="DI27" s="53">
        <v>10</v>
      </c>
      <c r="DJ27" s="53">
        <v>10</v>
      </c>
      <c r="DK27" s="53">
        <v>10</v>
      </c>
      <c r="DL27" s="53">
        <v>10</v>
      </c>
      <c r="DM27" s="53">
        <v>10</v>
      </c>
      <c r="DN27" s="53">
        <v>10</v>
      </c>
      <c r="DO27" s="93">
        <f t="shared" si="8"/>
        <v>120</v>
      </c>
      <c r="DP27" s="53">
        <v>10</v>
      </c>
      <c r="DQ27" s="53">
        <v>10</v>
      </c>
      <c r="DR27" s="53">
        <v>10</v>
      </c>
      <c r="DS27" s="53">
        <v>10</v>
      </c>
      <c r="DT27" s="53">
        <v>10</v>
      </c>
      <c r="DU27" s="53">
        <v>10</v>
      </c>
      <c r="DV27" s="53">
        <v>10</v>
      </c>
      <c r="DW27" s="53">
        <v>10</v>
      </c>
      <c r="DX27" s="53">
        <v>10</v>
      </c>
      <c r="DY27" s="53">
        <v>10</v>
      </c>
      <c r="DZ27" s="53">
        <v>10</v>
      </c>
      <c r="EA27" s="53">
        <v>10</v>
      </c>
      <c r="EB27" s="93">
        <f t="shared" si="10"/>
        <v>120</v>
      </c>
      <c r="EC27" s="53">
        <v>10</v>
      </c>
      <c r="ED27" s="53">
        <v>10</v>
      </c>
      <c r="EE27" s="53">
        <v>10</v>
      </c>
      <c r="EF27" s="53">
        <v>10</v>
      </c>
      <c r="EG27" s="53">
        <v>10</v>
      </c>
      <c r="EH27" s="53">
        <v>10</v>
      </c>
      <c r="EI27" s="53">
        <v>10</v>
      </c>
      <c r="EJ27" s="53">
        <v>10</v>
      </c>
      <c r="EK27" s="53">
        <v>10</v>
      </c>
      <c r="EL27" s="53">
        <v>10</v>
      </c>
      <c r="EM27" s="53">
        <v>10</v>
      </c>
      <c r="EN27" s="53">
        <v>10</v>
      </c>
      <c r="EO27" s="93">
        <f t="shared" si="12"/>
        <v>120</v>
      </c>
      <c r="EP27" s="53">
        <v>10</v>
      </c>
      <c r="EQ27" s="53">
        <v>10</v>
      </c>
      <c r="ER27" s="53">
        <v>10</v>
      </c>
      <c r="ES27" s="53">
        <v>10</v>
      </c>
      <c r="ET27" s="53">
        <v>10</v>
      </c>
      <c r="EU27" s="53">
        <v>10</v>
      </c>
      <c r="EV27" s="53">
        <v>10</v>
      </c>
      <c r="EW27" s="53">
        <v>10</v>
      </c>
      <c r="EX27" s="53">
        <v>10</v>
      </c>
      <c r="EY27" s="53">
        <v>10</v>
      </c>
      <c r="EZ27" s="53">
        <v>10</v>
      </c>
      <c r="FA27" s="53">
        <v>10</v>
      </c>
      <c r="FB27" s="93">
        <f t="shared" si="13"/>
        <v>120</v>
      </c>
      <c r="FC27" s="53">
        <v>10</v>
      </c>
      <c r="FD27" s="53">
        <v>10</v>
      </c>
      <c r="FE27" s="53">
        <v>10</v>
      </c>
      <c r="FF27" s="53">
        <v>10</v>
      </c>
      <c r="FG27" s="53">
        <v>10</v>
      </c>
      <c r="FH27" s="53">
        <v>10</v>
      </c>
      <c r="FI27" s="53">
        <v>10</v>
      </c>
      <c r="FJ27" s="53">
        <v>10</v>
      </c>
      <c r="FK27" s="53">
        <v>10</v>
      </c>
      <c r="FL27" s="53">
        <v>10</v>
      </c>
      <c r="FM27" s="53">
        <v>10</v>
      </c>
      <c r="FN27" s="53">
        <v>10</v>
      </c>
      <c r="FO27" s="93">
        <f t="shared" si="14"/>
        <v>120</v>
      </c>
      <c r="FP27" s="53">
        <v>10</v>
      </c>
      <c r="FQ27" s="53">
        <v>10</v>
      </c>
      <c r="FR27" s="53">
        <v>10</v>
      </c>
      <c r="FS27" s="53">
        <v>10</v>
      </c>
      <c r="FT27" s="53">
        <v>10</v>
      </c>
      <c r="FU27" s="53">
        <v>10</v>
      </c>
      <c r="FV27" s="53">
        <v>10</v>
      </c>
      <c r="FW27" s="53">
        <v>10</v>
      </c>
      <c r="FX27" s="53">
        <v>10</v>
      </c>
      <c r="FY27" s="53">
        <v>10</v>
      </c>
      <c r="FZ27" s="53">
        <v>10</v>
      </c>
      <c r="GA27" s="53">
        <v>10</v>
      </c>
      <c r="GB27" s="93">
        <f t="shared" si="15"/>
        <v>120</v>
      </c>
      <c r="GC27" s="53">
        <v>10</v>
      </c>
      <c r="GD27" s="53">
        <v>10</v>
      </c>
      <c r="GE27" s="53">
        <v>10</v>
      </c>
      <c r="GF27" s="53">
        <v>10</v>
      </c>
      <c r="GG27" s="53">
        <v>10</v>
      </c>
      <c r="GH27" s="53">
        <v>10</v>
      </c>
      <c r="GI27" s="53">
        <v>10</v>
      </c>
      <c r="GJ27" s="53">
        <v>10</v>
      </c>
      <c r="GK27" s="53">
        <v>10</v>
      </c>
      <c r="GL27" s="53">
        <v>10</v>
      </c>
      <c r="GM27" s="53">
        <v>10</v>
      </c>
      <c r="GN27" s="53">
        <v>10</v>
      </c>
      <c r="GO27" s="93">
        <f t="shared" si="16"/>
        <v>120</v>
      </c>
      <c r="GP27" s="53">
        <v>10</v>
      </c>
      <c r="GQ27" s="53">
        <v>10</v>
      </c>
      <c r="GR27" s="53">
        <v>10</v>
      </c>
      <c r="GS27" s="53">
        <v>10</v>
      </c>
      <c r="GT27" s="53">
        <v>10</v>
      </c>
      <c r="GU27" s="53">
        <v>10</v>
      </c>
      <c r="GV27" s="53">
        <v>10</v>
      </c>
      <c r="GW27" s="53">
        <v>10</v>
      </c>
      <c r="GX27" s="53">
        <v>10</v>
      </c>
      <c r="GY27" s="53">
        <v>10</v>
      </c>
      <c r="GZ27" s="53">
        <v>10</v>
      </c>
      <c r="HA27" s="53">
        <v>10</v>
      </c>
      <c r="HB27" s="93">
        <f t="shared" si="18"/>
        <v>120</v>
      </c>
      <c r="HC27" s="49">
        <f t="shared" si="19"/>
        <v>1720</v>
      </c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9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9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93"/>
      <c r="IP27" s="53"/>
      <c r="IQ27" s="53"/>
      <c r="IR27" s="53"/>
      <c r="IS27" s="53"/>
      <c r="IT27" s="53"/>
      <c r="IU27" s="53"/>
      <c r="IV27" s="53"/>
    </row>
    <row r="28" spans="2:256" ht="14.25" outlineLevel="3">
      <c r="B28" s="98" t="s">
        <v>445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95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95"/>
      <c r="AC28" s="53"/>
      <c r="AD28" s="53"/>
      <c r="AE28" s="53"/>
      <c r="AF28" s="53"/>
      <c r="AG28" s="53"/>
      <c r="AH28" s="53"/>
      <c r="AI28" s="53"/>
      <c r="AJ28" s="53"/>
      <c r="AK28" s="53">
        <f>AK29+AK30+AK31+AK32+AK33</f>
        <v>16.645176799999998</v>
      </c>
      <c r="AL28" s="53">
        <f>AL29+AL30+AL31+AL32+AL33</f>
        <v>20.413829200000002</v>
      </c>
      <c r="AM28" s="53">
        <f>AM29+AM30+AM31+AM32+AM33</f>
        <v>32.0153785</v>
      </c>
      <c r="AN28" s="53">
        <f>AN29+AN30+AN31+AN32+AN33</f>
        <v>45.91281525</v>
      </c>
      <c r="AO28" s="93">
        <f t="shared" si="0"/>
        <v>114.98719975</v>
      </c>
      <c r="AP28" s="53">
        <f>AP29+AP30+AP31+AP32+AP33</f>
        <v>40.158167000000006</v>
      </c>
      <c r="AQ28" s="53">
        <f>AQ29+AQ30+AQ31+AQ32+AQ33</f>
        <v>33.01214840000001</v>
      </c>
      <c r="AR28" s="53">
        <f aca="true" t="shared" si="37" ref="AR28:FN28">AR29+AR30+AR31+AR32+AR33</f>
        <v>22.535166800000002</v>
      </c>
      <c r="AS28" s="53">
        <f t="shared" si="37"/>
        <v>30.743502350000004</v>
      </c>
      <c r="AT28" s="53">
        <f t="shared" si="37"/>
        <v>0</v>
      </c>
      <c r="AU28" s="53">
        <f t="shared" si="37"/>
        <v>2.6870189</v>
      </c>
      <c r="AV28" s="53">
        <f t="shared" si="37"/>
        <v>5.0068378000000004</v>
      </c>
      <c r="AW28" s="53">
        <f t="shared" si="37"/>
        <v>8.5517606</v>
      </c>
      <c r="AX28" s="53">
        <f t="shared" si="37"/>
        <v>28.534588799999998</v>
      </c>
      <c r="AY28" s="53">
        <f t="shared" si="37"/>
        <v>45.9311157</v>
      </c>
      <c r="AZ28" s="53">
        <f t="shared" si="37"/>
        <v>76.8369084</v>
      </c>
      <c r="BA28" s="53">
        <f t="shared" si="37"/>
        <v>91.8256305</v>
      </c>
      <c r="BB28" s="93">
        <f t="shared" si="2"/>
        <v>385.82284525000006</v>
      </c>
      <c r="BC28" s="53">
        <f t="shared" si="37"/>
        <v>60.237250499999995</v>
      </c>
      <c r="BD28" s="53">
        <f t="shared" si="37"/>
        <v>70.740318</v>
      </c>
      <c r="BE28" s="53">
        <f t="shared" si="37"/>
        <v>61.9717087</v>
      </c>
      <c r="BF28" s="53">
        <f t="shared" si="37"/>
        <v>64.28186855</v>
      </c>
      <c r="BG28" s="53">
        <f t="shared" si="37"/>
        <v>0</v>
      </c>
      <c r="BH28" s="53">
        <f t="shared" si="37"/>
        <v>10.7480756</v>
      </c>
      <c r="BI28" s="53">
        <f t="shared" si="37"/>
        <v>10.013675600000001</v>
      </c>
      <c r="BJ28" s="53">
        <f t="shared" si="37"/>
        <v>21.3794015</v>
      </c>
      <c r="BK28" s="53">
        <f t="shared" si="37"/>
        <v>19.0230592</v>
      </c>
      <c r="BL28" s="53">
        <f t="shared" si="37"/>
        <v>45.9311157</v>
      </c>
      <c r="BM28" s="53">
        <f t="shared" si="37"/>
        <v>76.8369084</v>
      </c>
      <c r="BN28" s="53">
        <f t="shared" si="37"/>
        <v>91.8256305</v>
      </c>
      <c r="BO28" s="93">
        <f t="shared" si="4"/>
        <v>532.9890122500001</v>
      </c>
      <c r="BP28" s="53">
        <f t="shared" si="37"/>
        <v>60.237250499999995</v>
      </c>
      <c r="BQ28" s="53">
        <f t="shared" si="37"/>
        <v>70.740318</v>
      </c>
      <c r="BR28" s="53">
        <f t="shared" si="37"/>
        <v>64.78860455</v>
      </c>
      <c r="BS28" s="53">
        <f t="shared" si="37"/>
        <v>64.28186855</v>
      </c>
      <c r="BT28" s="53">
        <f t="shared" si="37"/>
        <v>0</v>
      </c>
      <c r="BU28" s="53">
        <f t="shared" si="37"/>
        <v>8.0610567</v>
      </c>
      <c r="BV28" s="53">
        <f t="shared" si="37"/>
        <v>10.013675600000001</v>
      </c>
      <c r="BW28" s="53">
        <f t="shared" si="37"/>
        <v>23.51734165</v>
      </c>
      <c r="BX28" s="53">
        <f t="shared" si="37"/>
        <v>16.645176799999998</v>
      </c>
      <c r="BY28" s="53">
        <f t="shared" si="37"/>
        <v>45.9311157</v>
      </c>
      <c r="BZ28" s="53">
        <f t="shared" si="37"/>
        <v>76.8369084</v>
      </c>
      <c r="CA28" s="53">
        <f t="shared" si="37"/>
        <v>91.8256305</v>
      </c>
      <c r="CB28" s="93">
        <f t="shared" si="5"/>
        <v>532.87894695</v>
      </c>
      <c r="CC28" s="53">
        <f t="shared" si="37"/>
        <v>60.237250499999995</v>
      </c>
      <c r="CD28" s="53">
        <f t="shared" si="37"/>
        <v>70.740318</v>
      </c>
      <c r="CE28" s="53">
        <f t="shared" si="37"/>
        <v>64.78860455</v>
      </c>
      <c r="CF28" s="53">
        <f t="shared" si="37"/>
        <v>64.28186855</v>
      </c>
      <c r="CG28" s="53">
        <f t="shared" si="37"/>
        <v>0</v>
      </c>
      <c r="CH28" s="53">
        <f t="shared" si="37"/>
        <v>8.0610567</v>
      </c>
      <c r="CI28" s="53">
        <f t="shared" si="37"/>
        <v>10.013675600000001</v>
      </c>
      <c r="CJ28" s="53">
        <f t="shared" si="37"/>
        <v>23.51734165</v>
      </c>
      <c r="CK28" s="53">
        <f t="shared" si="37"/>
        <v>19.0230592</v>
      </c>
      <c r="CL28" s="53">
        <f t="shared" si="37"/>
        <v>43.37938705</v>
      </c>
      <c r="CM28" s="53">
        <f t="shared" si="37"/>
        <v>76.8369084</v>
      </c>
      <c r="CN28" s="53">
        <f t="shared" si="37"/>
        <v>91.8256305</v>
      </c>
      <c r="CO28" s="93">
        <f t="shared" si="6"/>
        <v>532.7051007</v>
      </c>
      <c r="CP28" s="53">
        <f t="shared" si="37"/>
        <v>60.237250499999995</v>
      </c>
      <c r="CQ28" s="53">
        <f t="shared" si="37"/>
        <v>70.740318</v>
      </c>
      <c r="CR28" s="53">
        <f t="shared" si="37"/>
        <v>64.78860455</v>
      </c>
      <c r="CS28" s="53">
        <f t="shared" si="37"/>
        <v>64.28186855</v>
      </c>
      <c r="CT28" s="53">
        <f t="shared" si="37"/>
        <v>0</v>
      </c>
      <c r="CU28" s="53">
        <f t="shared" si="37"/>
        <v>10.7480756</v>
      </c>
      <c r="CV28" s="53">
        <f t="shared" si="37"/>
        <v>7.5102567</v>
      </c>
      <c r="CW28" s="53">
        <f t="shared" si="37"/>
        <v>23.51734165</v>
      </c>
      <c r="CX28" s="53">
        <f t="shared" si="37"/>
        <v>19.0230592</v>
      </c>
      <c r="CY28" s="53">
        <f t="shared" si="37"/>
        <v>45.9311157</v>
      </c>
      <c r="CZ28" s="53">
        <f t="shared" si="37"/>
        <v>73.63537055</v>
      </c>
      <c r="DA28" s="53">
        <f t="shared" si="37"/>
        <v>91.8256305</v>
      </c>
      <c r="DB28" s="93">
        <f t="shared" si="7"/>
        <v>532.2388915</v>
      </c>
      <c r="DC28" s="53">
        <f t="shared" si="37"/>
        <v>60.237250499999995</v>
      </c>
      <c r="DD28" s="53">
        <f t="shared" si="37"/>
        <v>70.740318</v>
      </c>
      <c r="DE28" s="53">
        <f t="shared" si="37"/>
        <v>64.78860455</v>
      </c>
      <c r="DF28" s="53">
        <f t="shared" si="37"/>
        <v>64.28186855</v>
      </c>
      <c r="DG28" s="53">
        <f t="shared" si="37"/>
        <v>0</v>
      </c>
      <c r="DH28" s="53">
        <f t="shared" si="37"/>
        <v>10.7480756</v>
      </c>
      <c r="DI28" s="53">
        <f t="shared" si="37"/>
        <v>7.5102567</v>
      </c>
      <c r="DJ28" s="53">
        <f t="shared" si="37"/>
        <v>23.51734165</v>
      </c>
      <c r="DK28" s="53">
        <f t="shared" si="37"/>
        <v>19.0230592</v>
      </c>
      <c r="DL28" s="53">
        <f t="shared" si="37"/>
        <v>45.9311157</v>
      </c>
      <c r="DM28" s="53">
        <f t="shared" si="37"/>
        <v>76.8369084</v>
      </c>
      <c r="DN28" s="53">
        <f t="shared" si="37"/>
        <v>91.8256305</v>
      </c>
      <c r="DO28" s="93">
        <f t="shared" si="8"/>
        <v>535.44042935</v>
      </c>
      <c r="DP28" s="53">
        <f t="shared" si="37"/>
        <v>60.237250499999995</v>
      </c>
      <c r="DQ28" s="53">
        <f t="shared" si="37"/>
        <v>70.740318</v>
      </c>
      <c r="DR28" s="53">
        <f t="shared" si="37"/>
        <v>61.9717087</v>
      </c>
      <c r="DS28" s="53">
        <f t="shared" si="37"/>
        <v>64.28186855</v>
      </c>
      <c r="DT28" s="53">
        <f t="shared" si="37"/>
        <v>0</v>
      </c>
      <c r="DU28" s="53">
        <f t="shared" si="37"/>
        <v>10.7480756</v>
      </c>
      <c r="DV28" s="53">
        <f t="shared" si="37"/>
        <v>10.013675600000001</v>
      </c>
      <c r="DW28" s="53">
        <f t="shared" si="37"/>
        <v>21.3794015</v>
      </c>
      <c r="DX28" s="53">
        <f t="shared" si="37"/>
        <v>19.0230592</v>
      </c>
      <c r="DY28" s="53">
        <f t="shared" si="37"/>
        <v>45.9311157</v>
      </c>
      <c r="DZ28" s="53">
        <f t="shared" si="37"/>
        <v>76.8369084</v>
      </c>
      <c r="EA28" s="53">
        <f t="shared" si="37"/>
        <v>91.8256305</v>
      </c>
      <c r="EB28" s="93">
        <f t="shared" si="10"/>
        <v>532.9890122500001</v>
      </c>
      <c r="EC28" s="53">
        <f t="shared" si="37"/>
        <v>60.237250499999995</v>
      </c>
      <c r="ED28" s="53">
        <f t="shared" si="37"/>
        <v>70.740318</v>
      </c>
      <c r="EE28" s="53">
        <f t="shared" si="37"/>
        <v>61.9717087</v>
      </c>
      <c r="EF28" s="53">
        <f t="shared" si="37"/>
        <v>64.28186855</v>
      </c>
      <c r="EG28" s="53">
        <f t="shared" si="37"/>
        <v>0</v>
      </c>
      <c r="EH28" s="53">
        <f t="shared" si="37"/>
        <v>10.7480756</v>
      </c>
      <c r="EI28" s="53">
        <f t="shared" si="37"/>
        <v>10.013675600000001</v>
      </c>
      <c r="EJ28" s="53">
        <f t="shared" si="37"/>
        <v>23.51734165</v>
      </c>
      <c r="EK28" s="53">
        <f t="shared" si="37"/>
        <v>16.645176799999998</v>
      </c>
      <c r="EL28" s="53">
        <f t="shared" si="37"/>
        <v>45.9311157</v>
      </c>
      <c r="EM28" s="53">
        <f t="shared" si="37"/>
        <v>76.8369084</v>
      </c>
      <c r="EN28" s="53">
        <f t="shared" si="37"/>
        <v>91.8256305</v>
      </c>
      <c r="EO28" s="93">
        <f t="shared" si="12"/>
        <v>532.7490700000001</v>
      </c>
      <c r="EP28" s="53">
        <f t="shared" si="37"/>
        <v>60.237250499999995</v>
      </c>
      <c r="EQ28" s="53">
        <f t="shared" si="37"/>
        <v>70.740318</v>
      </c>
      <c r="ER28" s="53">
        <f t="shared" si="37"/>
        <v>64.78860455</v>
      </c>
      <c r="ES28" s="53">
        <f t="shared" si="37"/>
        <v>64.28186855</v>
      </c>
      <c r="ET28" s="53">
        <f t="shared" si="37"/>
        <v>0</v>
      </c>
      <c r="EU28" s="53">
        <f t="shared" si="37"/>
        <v>8.0610567</v>
      </c>
      <c r="EV28" s="53">
        <f t="shared" si="37"/>
        <v>10.013675600000001</v>
      </c>
      <c r="EW28" s="53">
        <f t="shared" si="37"/>
        <v>23.51734165</v>
      </c>
      <c r="EX28" s="53">
        <f t="shared" si="37"/>
        <v>16.904515599999996</v>
      </c>
      <c r="EY28" s="53">
        <f t="shared" si="37"/>
        <v>46.597986899999995</v>
      </c>
      <c r="EZ28" s="53">
        <f t="shared" si="37"/>
        <v>77.72606999999999</v>
      </c>
      <c r="FA28" s="53">
        <f t="shared" si="37"/>
        <v>92.9370825</v>
      </c>
      <c r="FB28" s="93">
        <f t="shared" si="13"/>
        <v>535.80577055</v>
      </c>
      <c r="FC28" s="53">
        <f t="shared" si="37"/>
        <v>60.237250499999995</v>
      </c>
      <c r="FD28" s="53">
        <f t="shared" si="37"/>
        <v>70.740318</v>
      </c>
      <c r="FE28" s="53">
        <f t="shared" si="37"/>
        <v>64.78860455</v>
      </c>
      <c r="FF28" s="53">
        <f t="shared" si="37"/>
        <v>64.28186855</v>
      </c>
      <c r="FG28" s="53">
        <f t="shared" si="37"/>
        <v>0</v>
      </c>
      <c r="FH28" s="53">
        <f t="shared" si="37"/>
        <v>8.0610567</v>
      </c>
      <c r="FI28" s="53">
        <f t="shared" si="37"/>
        <v>10.013675600000001</v>
      </c>
      <c r="FJ28" s="53">
        <f t="shared" si="37"/>
        <v>23.51734165</v>
      </c>
      <c r="FK28" s="53">
        <f t="shared" si="37"/>
        <v>19.0230592</v>
      </c>
      <c r="FL28" s="53">
        <f t="shared" si="37"/>
        <v>43.37938705</v>
      </c>
      <c r="FM28" s="53">
        <f t="shared" si="37"/>
        <v>76.8369084</v>
      </c>
      <c r="FN28" s="53">
        <f t="shared" si="37"/>
        <v>91.8256305</v>
      </c>
      <c r="FO28" s="93">
        <f t="shared" si="14"/>
        <v>532.7051007</v>
      </c>
      <c r="FP28" s="53">
        <f aca="true" t="shared" si="38" ref="FP28:GA28">FP29+FP30+FP31+FP32+FP33</f>
        <v>60.237250499999995</v>
      </c>
      <c r="FQ28" s="53">
        <f t="shared" si="38"/>
        <v>70.740318</v>
      </c>
      <c r="FR28" s="53">
        <f t="shared" si="38"/>
        <v>64.78860455</v>
      </c>
      <c r="FS28" s="53">
        <f t="shared" si="38"/>
        <v>64.28186855</v>
      </c>
      <c r="FT28" s="53">
        <f t="shared" si="38"/>
        <v>0</v>
      </c>
      <c r="FU28" s="53">
        <f t="shared" si="38"/>
        <v>10.7480756</v>
      </c>
      <c r="FV28" s="53">
        <f t="shared" si="38"/>
        <v>7.5102567</v>
      </c>
      <c r="FW28" s="53">
        <f t="shared" si="38"/>
        <v>23.51734165</v>
      </c>
      <c r="FX28" s="53">
        <f t="shared" si="38"/>
        <v>19.0230592</v>
      </c>
      <c r="FY28" s="53">
        <f t="shared" si="38"/>
        <v>45.9311157</v>
      </c>
      <c r="FZ28" s="53">
        <f t="shared" si="38"/>
        <v>73.63537055</v>
      </c>
      <c r="GA28" s="53">
        <f t="shared" si="38"/>
        <v>91.8256305</v>
      </c>
      <c r="GB28" s="93">
        <f t="shared" si="15"/>
        <v>532.2388915</v>
      </c>
      <c r="GC28" s="53">
        <f aca="true" t="shared" si="39" ref="GC28:GN28">GC29+GC30+GC31+GC32+GC33</f>
        <v>60.237250499999995</v>
      </c>
      <c r="GD28" s="53">
        <f t="shared" si="39"/>
        <v>70.740318</v>
      </c>
      <c r="GE28" s="53">
        <f t="shared" si="39"/>
        <v>64.78860455</v>
      </c>
      <c r="GF28" s="53">
        <f t="shared" si="39"/>
        <v>64.28186855</v>
      </c>
      <c r="GG28" s="53">
        <f t="shared" si="39"/>
        <v>0</v>
      </c>
      <c r="GH28" s="53">
        <f t="shared" si="39"/>
        <v>10.7480756</v>
      </c>
      <c r="GI28" s="53">
        <f t="shared" si="39"/>
        <v>10.013675600000001</v>
      </c>
      <c r="GJ28" s="53">
        <f t="shared" si="39"/>
        <v>21.3794015</v>
      </c>
      <c r="GK28" s="53">
        <f t="shared" si="39"/>
        <v>19.0230592</v>
      </c>
      <c r="GL28" s="53">
        <f t="shared" si="39"/>
        <v>45.9311157</v>
      </c>
      <c r="GM28" s="53">
        <f t="shared" si="39"/>
        <v>76.8369084</v>
      </c>
      <c r="GN28" s="53">
        <f t="shared" si="39"/>
        <v>91.8256305</v>
      </c>
      <c r="GO28" s="93">
        <f t="shared" si="16"/>
        <v>535.8059081</v>
      </c>
      <c r="GP28" s="53">
        <f aca="true" t="shared" si="40" ref="GP28:HA28">GP29+GP30+GP31+GP32+GP33</f>
        <v>60.237250499999995</v>
      </c>
      <c r="GQ28" s="53">
        <f t="shared" si="40"/>
        <v>70.740318</v>
      </c>
      <c r="GR28" s="53">
        <f t="shared" si="40"/>
        <v>61.9717087</v>
      </c>
      <c r="GS28" s="53">
        <f t="shared" si="40"/>
        <v>64.28186855</v>
      </c>
      <c r="GT28" s="53">
        <f t="shared" si="40"/>
        <v>0</v>
      </c>
      <c r="GU28" s="53">
        <f t="shared" si="40"/>
        <v>10.7480756</v>
      </c>
      <c r="GV28" s="53">
        <f t="shared" si="40"/>
        <v>10.013675600000001</v>
      </c>
      <c r="GW28" s="53">
        <f t="shared" si="40"/>
        <v>21.3794015</v>
      </c>
      <c r="GX28" s="53">
        <f t="shared" si="40"/>
        <v>19.0230592</v>
      </c>
      <c r="GY28" s="53">
        <f t="shared" si="40"/>
        <v>45.9311157</v>
      </c>
      <c r="GZ28" s="53">
        <f t="shared" si="40"/>
        <v>76.8369084</v>
      </c>
      <c r="HA28" s="53">
        <f t="shared" si="40"/>
        <v>91.8256305</v>
      </c>
      <c r="HB28" s="93">
        <f t="shared" si="18"/>
        <v>532.9890122500001</v>
      </c>
      <c r="HC28" s="49">
        <f t="shared" si="19"/>
        <v>6902.345191100001</v>
      </c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95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95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95"/>
      <c r="IP28" s="53"/>
      <c r="IQ28" s="53"/>
      <c r="IR28" s="53"/>
      <c r="IS28" s="53"/>
      <c r="IT28" s="53"/>
      <c r="IU28" s="53"/>
      <c r="IV28" s="53"/>
    </row>
    <row r="29" spans="2:256" ht="14.25" outlineLevel="3">
      <c r="B29" s="99" t="s">
        <v>392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95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95"/>
      <c r="AC29" s="53"/>
      <c r="AD29" s="53"/>
      <c r="AE29" s="53"/>
      <c r="AF29" s="53"/>
      <c r="AG29" s="53"/>
      <c r="AH29" s="53"/>
      <c r="AI29" s="53"/>
      <c r="AJ29" s="53"/>
      <c r="AK29" s="53">
        <f aca="true" t="shared" si="41" ref="AK29:AN31">AK36/100*0.5</f>
        <v>0.105</v>
      </c>
      <c r="AL29" s="53">
        <f t="shared" si="41"/>
        <v>0.12</v>
      </c>
      <c r="AM29" s="53">
        <f t="shared" si="41"/>
        <v>0.15</v>
      </c>
      <c r="AN29" s="53">
        <f>AN36/100*0.5</f>
        <v>0.225</v>
      </c>
      <c r="AO29" s="93">
        <f t="shared" si="0"/>
        <v>0.6</v>
      </c>
      <c r="AP29" s="53">
        <f>AP36/100*0.5</f>
        <v>0.3</v>
      </c>
      <c r="AQ29" s="53">
        <f aca="true" t="shared" si="42" ref="AQ29:BA31">AQ36/100*0.5</f>
        <v>0.21</v>
      </c>
      <c r="AR29" s="53">
        <f>AR36/100*0.5</f>
        <v>0.12</v>
      </c>
      <c r="AS29" s="53">
        <f t="shared" si="42"/>
        <v>0.165</v>
      </c>
      <c r="AT29" s="53">
        <f t="shared" si="42"/>
        <v>0</v>
      </c>
      <c r="AU29" s="53">
        <f t="shared" si="42"/>
        <v>0.015</v>
      </c>
      <c r="AV29" s="53">
        <f t="shared" si="42"/>
        <v>0.03</v>
      </c>
      <c r="AW29" s="53">
        <f t="shared" si="42"/>
        <v>0.06</v>
      </c>
      <c r="AX29" s="53">
        <f t="shared" si="42"/>
        <v>0.18</v>
      </c>
      <c r="AY29" s="53">
        <f t="shared" si="42"/>
        <v>0.27</v>
      </c>
      <c r="AZ29" s="53">
        <f t="shared" si="42"/>
        <v>0.36</v>
      </c>
      <c r="BA29" s="53">
        <f t="shared" si="42"/>
        <v>0.45</v>
      </c>
      <c r="BB29" s="93">
        <f t="shared" si="2"/>
        <v>2.1599999999999997</v>
      </c>
      <c r="BC29" s="53">
        <f aca="true" t="shared" si="43" ref="BC29:BN31">BC36/100*0.5</f>
        <v>0.45</v>
      </c>
      <c r="BD29" s="53">
        <f t="shared" si="43"/>
        <v>0.45</v>
      </c>
      <c r="BE29" s="53">
        <f t="shared" si="43"/>
        <v>0.33</v>
      </c>
      <c r="BF29" s="53">
        <f t="shared" si="43"/>
        <v>0.345</v>
      </c>
      <c r="BG29" s="53">
        <f t="shared" si="43"/>
        <v>0</v>
      </c>
      <c r="BH29" s="53">
        <f t="shared" si="43"/>
        <v>0.06</v>
      </c>
      <c r="BI29" s="53">
        <f t="shared" si="43"/>
        <v>0.06</v>
      </c>
      <c r="BJ29" s="53">
        <f t="shared" si="43"/>
        <v>0.15</v>
      </c>
      <c r="BK29" s="53">
        <f t="shared" si="43"/>
        <v>0.12</v>
      </c>
      <c r="BL29" s="53">
        <f t="shared" si="43"/>
        <v>0.27</v>
      </c>
      <c r="BM29" s="53">
        <f t="shared" si="43"/>
        <v>0.36</v>
      </c>
      <c r="BN29" s="53">
        <f t="shared" si="43"/>
        <v>0.45</v>
      </c>
      <c r="BO29" s="93">
        <f t="shared" si="4"/>
        <v>3.0450000000000004</v>
      </c>
      <c r="BP29" s="53">
        <f aca="true" t="shared" si="44" ref="BP29:CA31">BP36/100*0.5</f>
        <v>0.45</v>
      </c>
      <c r="BQ29" s="53">
        <f t="shared" si="44"/>
        <v>0.45</v>
      </c>
      <c r="BR29" s="53">
        <f t="shared" si="44"/>
        <v>0.345</v>
      </c>
      <c r="BS29" s="53">
        <f t="shared" si="44"/>
        <v>0.345</v>
      </c>
      <c r="BT29" s="53">
        <f t="shared" si="44"/>
        <v>0</v>
      </c>
      <c r="BU29" s="53">
        <f t="shared" si="44"/>
        <v>0.045</v>
      </c>
      <c r="BV29" s="53">
        <f t="shared" si="44"/>
        <v>0.06</v>
      </c>
      <c r="BW29" s="53">
        <f t="shared" si="44"/>
        <v>0.165</v>
      </c>
      <c r="BX29" s="53">
        <f t="shared" si="44"/>
        <v>0.105</v>
      </c>
      <c r="BY29" s="53">
        <f t="shared" si="44"/>
        <v>0.27</v>
      </c>
      <c r="BZ29" s="53">
        <f t="shared" si="44"/>
        <v>0.36</v>
      </c>
      <c r="CA29" s="53">
        <f t="shared" si="44"/>
        <v>0.45</v>
      </c>
      <c r="CB29" s="93">
        <f t="shared" si="5"/>
        <v>3.0450000000000004</v>
      </c>
      <c r="CC29" s="53">
        <f aca="true" t="shared" si="45" ref="CC29:CN31">CC36/100*0.5</f>
        <v>0.45</v>
      </c>
      <c r="CD29" s="53">
        <f t="shared" si="45"/>
        <v>0.45</v>
      </c>
      <c r="CE29" s="53">
        <f t="shared" si="45"/>
        <v>0.345</v>
      </c>
      <c r="CF29" s="53">
        <f t="shared" si="45"/>
        <v>0.345</v>
      </c>
      <c r="CG29" s="53">
        <f t="shared" si="45"/>
        <v>0</v>
      </c>
      <c r="CH29" s="53">
        <f t="shared" si="45"/>
        <v>0.045</v>
      </c>
      <c r="CI29" s="53">
        <f t="shared" si="45"/>
        <v>0.06</v>
      </c>
      <c r="CJ29" s="53">
        <f t="shared" si="45"/>
        <v>0.165</v>
      </c>
      <c r="CK29" s="53">
        <f t="shared" si="45"/>
        <v>0.12</v>
      </c>
      <c r="CL29" s="53">
        <f t="shared" si="45"/>
        <v>0.255</v>
      </c>
      <c r="CM29" s="53">
        <f t="shared" si="45"/>
        <v>0.36</v>
      </c>
      <c r="CN29" s="53">
        <f t="shared" si="45"/>
        <v>0.45</v>
      </c>
      <c r="CO29" s="93">
        <f t="shared" si="6"/>
        <v>3.0450000000000004</v>
      </c>
      <c r="CP29" s="53">
        <f aca="true" t="shared" si="46" ref="CP29:DA31">CP36/100*0.5</f>
        <v>0.45</v>
      </c>
      <c r="CQ29" s="53">
        <f t="shared" si="46"/>
        <v>0.45</v>
      </c>
      <c r="CR29" s="53">
        <f t="shared" si="46"/>
        <v>0.345</v>
      </c>
      <c r="CS29" s="53">
        <f t="shared" si="46"/>
        <v>0.345</v>
      </c>
      <c r="CT29" s="53">
        <f t="shared" si="46"/>
        <v>0</v>
      </c>
      <c r="CU29" s="53">
        <f t="shared" si="46"/>
        <v>0.06</v>
      </c>
      <c r="CV29" s="53">
        <f t="shared" si="46"/>
        <v>0.045</v>
      </c>
      <c r="CW29" s="53">
        <f t="shared" si="46"/>
        <v>0.165</v>
      </c>
      <c r="CX29" s="53">
        <f t="shared" si="46"/>
        <v>0.12</v>
      </c>
      <c r="CY29" s="53">
        <f t="shared" si="46"/>
        <v>0.27</v>
      </c>
      <c r="CZ29" s="53">
        <f t="shared" si="46"/>
        <v>0.345</v>
      </c>
      <c r="DA29" s="53">
        <f t="shared" si="46"/>
        <v>0.45</v>
      </c>
      <c r="DB29" s="93">
        <f t="shared" si="7"/>
        <v>3.0450000000000004</v>
      </c>
      <c r="DC29" s="53">
        <f aca="true" t="shared" si="47" ref="DC29:DN31">DC36/100*0.5</f>
        <v>0.45</v>
      </c>
      <c r="DD29" s="53">
        <f t="shared" si="47"/>
        <v>0.45</v>
      </c>
      <c r="DE29" s="53">
        <f t="shared" si="47"/>
        <v>0.345</v>
      </c>
      <c r="DF29" s="53">
        <f t="shared" si="47"/>
        <v>0.345</v>
      </c>
      <c r="DG29" s="53">
        <f t="shared" si="47"/>
        <v>0</v>
      </c>
      <c r="DH29" s="53">
        <f t="shared" si="47"/>
        <v>0.06</v>
      </c>
      <c r="DI29" s="53">
        <f t="shared" si="47"/>
        <v>0.045</v>
      </c>
      <c r="DJ29" s="53">
        <f t="shared" si="47"/>
        <v>0.165</v>
      </c>
      <c r="DK29" s="53">
        <f t="shared" si="47"/>
        <v>0.12</v>
      </c>
      <c r="DL29" s="53">
        <f t="shared" si="47"/>
        <v>0.27</v>
      </c>
      <c r="DM29" s="53">
        <f t="shared" si="47"/>
        <v>0.36</v>
      </c>
      <c r="DN29" s="53">
        <f t="shared" si="47"/>
        <v>0.45</v>
      </c>
      <c r="DO29" s="93">
        <f t="shared" si="8"/>
        <v>3.0600000000000005</v>
      </c>
      <c r="DP29" s="53">
        <f aca="true" t="shared" si="48" ref="DP29:EA31">DP36/100*0.5</f>
        <v>0.45</v>
      </c>
      <c r="DQ29" s="53">
        <f t="shared" si="48"/>
        <v>0.45</v>
      </c>
      <c r="DR29" s="53">
        <f t="shared" si="48"/>
        <v>0.33</v>
      </c>
      <c r="DS29" s="53">
        <f t="shared" si="48"/>
        <v>0.345</v>
      </c>
      <c r="DT29" s="53">
        <f t="shared" si="48"/>
        <v>0</v>
      </c>
      <c r="DU29" s="53">
        <f t="shared" si="48"/>
        <v>0.06</v>
      </c>
      <c r="DV29" s="53">
        <f t="shared" si="48"/>
        <v>0.06</v>
      </c>
      <c r="DW29" s="53">
        <f t="shared" si="48"/>
        <v>0.15</v>
      </c>
      <c r="DX29" s="53">
        <f t="shared" si="48"/>
        <v>0.12</v>
      </c>
      <c r="DY29" s="53">
        <f t="shared" si="48"/>
        <v>0.27</v>
      </c>
      <c r="DZ29" s="53">
        <f t="shared" si="48"/>
        <v>0.36</v>
      </c>
      <c r="EA29" s="53">
        <f t="shared" si="48"/>
        <v>0.45</v>
      </c>
      <c r="EB29" s="93">
        <f t="shared" si="10"/>
        <v>3.0450000000000004</v>
      </c>
      <c r="EC29" s="53">
        <f aca="true" t="shared" si="49" ref="EC29:EN31">EC36/100*0.5</f>
        <v>0.45</v>
      </c>
      <c r="ED29" s="53">
        <f t="shared" si="49"/>
        <v>0.45</v>
      </c>
      <c r="EE29" s="53">
        <f t="shared" si="49"/>
        <v>0.33</v>
      </c>
      <c r="EF29" s="53">
        <f t="shared" si="49"/>
        <v>0.345</v>
      </c>
      <c r="EG29" s="53">
        <f t="shared" si="49"/>
        <v>0</v>
      </c>
      <c r="EH29" s="53">
        <f t="shared" si="49"/>
        <v>0.06</v>
      </c>
      <c r="EI29" s="53">
        <f t="shared" si="49"/>
        <v>0.06</v>
      </c>
      <c r="EJ29" s="53">
        <f t="shared" si="49"/>
        <v>0.165</v>
      </c>
      <c r="EK29" s="53">
        <f t="shared" si="49"/>
        <v>0.105</v>
      </c>
      <c r="EL29" s="53">
        <f t="shared" si="49"/>
        <v>0.27</v>
      </c>
      <c r="EM29" s="53">
        <f t="shared" si="49"/>
        <v>0.36</v>
      </c>
      <c r="EN29" s="53">
        <f t="shared" si="49"/>
        <v>0.45</v>
      </c>
      <c r="EO29" s="93">
        <f t="shared" si="12"/>
        <v>3.0450000000000004</v>
      </c>
      <c r="EP29" s="53">
        <f aca="true" t="shared" si="50" ref="EP29:FA31">EP36/100*0.5</f>
        <v>0.45</v>
      </c>
      <c r="EQ29" s="53">
        <f t="shared" si="50"/>
        <v>0.45</v>
      </c>
      <c r="ER29" s="53">
        <f t="shared" si="50"/>
        <v>0.345</v>
      </c>
      <c r="ES29" s="53">
        <f t="shared" si="50"/>
        <v>0.345</v>
      </c>
      <c r="ET29" s="53">
        <f t="shared" si="50"/>
        <v>0</v>
      </c>
      <c r="EU29" s="53">
        <f t="shared" si="50"/>
        <v>0.045</v>
      </c>
      <c r="EV29" s="53">
        <f t="shared" si="50"/>
        <v>0.06</v>
      </c>
      <c r="EW29" s="53">
        <f t="shared" si="50"/>
        <v>0.165</v>
      </c>
      <c r="EX29" s="53">
        <f t="shared" si="50"/>
        <v>0.105</v>
      </c>
      <c r="EY29" s="53">
        <f t="shared" si="50"/>
        <v>0.27</v>
      </c>
      <c r="EZ29" s="53">
        <f t="shared" si="50"/>
        <v>0.36</v>
      </c>
      <c r="FA29" s="53">
        <f t="shared" si="50"/>
        <v>0.45</v>
      </c>
      <c r="FB29" s="93">
        <f t="shared" si="13"/>
        <v>3.0450000000000004</v>
      </c>
      <c r="FC29" s="53">
        <f aca="true" t="shared" si="51" ref="FC29:FN31">FC36/100*0.5</f>
        <v>0.45</v>
      </c>
      <c r="FD29" s="53">
        <f t="shared" si="51"/>
        <v>0.45</v>
      </c>
      <c r="FE29" s="53">
        <f t="shared" si="51"/>
        <v>0.345</v>
      </c>
      <c r="FF29" s="53">
        <f t="shared" si="51"/>
        <v>0.345</v>
      </c>
      <c r="FG29" s="53">
        <f t="shared" si="51"/>
        <v>0</v>
      </c>
      <c r="FH29" s="53">
        <f t="shared" si="51"/>
        <v>0.045</v>
      </c>
      <c r="FI29" s="53">
        <f t="shared" si="51"/>
        <v>0.06</v>
      </c>
      <c r="FJ29" s="53">
        <f t="shared" si="51"/>
        <v>0.165</v>
      </c>
      <c r="FK29" s="53">
        <f t="shared" si="51"/>
        <v>0.12</v>
      </c>
      <c r="FL29" s="53">
        <f t="shared" si="51"/>
        <v>0.255</v>
      </c>
      <c r="FM29" s="53">
        <f t="shared" si="51"/>
        <v>0.36</v>
      </c>
      <c r="FN29" s="53">
        <f t="shared" si="51"/>
        <v>0.45</v>
      </c>
      <c r="FO29" s="93">
        <f t="shared" si="14"/>
        <v>3.0450000000000004</v>
      </c>
      <c r="FP29" s="53">
        <f aca="true" t="shared" si="52" ref="FP29:GA31">FP36/100*0.5</f>
        <v>0.45</v>
      </c>
      <c r="FQ29" s="53">
        <f t="shared" si="52"/>
        <v>0.45</v>
      </c>
      <c r="FR29" s="53">
        <f t="shared" si="52"/>
        <v>0.345</v>
      </c>
      <c r="FS29" s="53">
        <f t="shared" si="52"/>
        <v>0.345</v>
      </c>
      <c r="FT29" s="53">
        <f t="shared" si="52"/>
        <v>0</v>
      </c>
      <c r="FU29" s="53">
        <f t="shared" si="52"/>
        <v>0.06</v>
      </c>
      <c r="FV29" s="53">
        <f t="shared" si="52"/>
        <v>0.045</v>
      </c>
      <c r="FW29" s="53">
        <f t="shared" si="52"/>
        <v>0.165</v>
      </c>
      <c r="FX29" s="53">
        <f t="shared" si="52"/>
        <v>0.12</v>
      </c>
      <c r="FY29" s="53">
        <f t="shared" si="52"/>
        <v>0.27</v>
      </c>
      <c r="FZ29" s="53">
        <f t="shared" si="52"/>
        <v>0.345</v>
      </c>
      <c r="GA29" s="53">
        <f t="shared" si="52"/>
        <v>0.45</v>
      </c>
      <c r="GB29" s="93">
        <f t="shared" si="15"/>
        <v>3.0450000000000004</v>
      </c>
      <c r="GC29" s="53">
        <f aca="true" t="shared" si="53" ref="GC29:GN29">GC36/100*0.5</f>
        <v>0.45</v>
      </c>
      <c r="GD29" s="53">
        <f t="shared" si="53"/>
        <v>0.45</v>
      </c>
      <c r="GE29" s="53">
        <f t="shared" si="53"/>
        <v>0.345</v>
      </c>
      <c r="GF29" s="53">
        <f t="shared" si="53"/>
        <v>0.345</v>
      </c>
      <c r="GG29" s="53">
        <f t="shared" si="53"/>
        <v>0</v>
      </c>
      <c r="GH29" s="53">
        <f t="shared" si="53"/>
        <v>0.06</v>
      </c>
      <c r="GI29" s="53">
        <f t="shared" si="53"/>
        <v>0.06</v>
      </c>
      <c r="GJ29" s="53">
        <f t="shared" si="53"/>
        <v>0.15</v>
      </c>
      <c r="GK29" s="53">
        <f t="shared" si="53"/>
        <v>0.12</v>
      </c>
      <c r="GL29" s="53">
        <f t="shared" si="53"/>
        <v>0.27</v>
      </c>
      <c r="GM29" s="53">
        <f t="shared" si="53"/>
        <v>0.36</v>
      </c>
      <c r="GN29" s="53">
        <f t="shared" si="53"/>
        <v>0.45</v>
      </c>
      <c r="GO29" s="93">
        <f t="shared" si="16"/>
        <v>3.0600000000000005</v>
      </c>
      <c r="GP29" s="53">
        <f aca="true" t="shared" si="54" ref="GP29:HA29">GP36/100*0.5</f>
        <v>0.45</v>
      </c>
      <c r="GQ29" s="53">
        <f t="shared" si="54"/>
        <v>0.45</v>
      </c>
      <c r="GR29" s="53">
        <f t="shared" si="54"/>
        <v>0.33</v>
      </c>
      <c r="GS29" s="53">
        <f t="shared" si="54"/>
        <v>0.345</v>
      </c>
      <c r="GT29" s="53">
        <f t="shared" si="54"/>
        <v>0</v>
      </c>
      <c r="GU29" s="53">
        <f t="shared" si="54"/>
        <v>0.06</v>
      </c>
      <c r="GV29" s="53">
        <f t="shared" si="54"/>
        <v>0.06</v>
      </c>
      <c r="GW29" s="53">
        <f t="shared" si="54"/>
        <v>0.15</v>
      </c>
      <c r="GX29" s="53">
        <f t="shared" si="54"/>
        <v>0.12</v>
      </c>
      <c r="GY29" s="53">
        <f t="shared" si="54"/>
        <v>0.27</v>
      </c>
      <c r="GZ29" s="53">
        <f t="shared" si="54"/>
        <v>0.36</v>
      </c>
      <c r="HA29" s="53">
        <f t="shared" si="54"/>
        <v>0.45</v>
      </c>
      <c r="HB29" s="93">
        <f t="shared" si="18"/>
        <v>3.0450000000000004</v>
      </c>
      <c r="HC29" s="49">
        <f t="shared" si="19"/>
        <v>39.330000000000005</v>
      </c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95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95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95"/>
      <c r="IP29" s="53"/>
      <c r="IQ29" s="53"/>
      <c r="IR29" s="53"/>
      <c r="IS29" s="53"/>
      <c r="IT29" s="53"/>
      <c r="IU29" s="53"/>
      <c r="IV29" s="53"/>
    </row>
    <row r="30" spans="2:256" ht="14.25" outlineLevel="3">
      <c r="B30" s="99" t="s">
        <v>393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9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93"/>
      <c r="AC30" s="53"/>
      <c r="AD30" s="53"/>
      <c r="AE30" s="53"/>
      <c r="AF30" s="53"/>
      <c r="AG30" s="53"/>
      <c r="AH30" s="53"/>
      <c r="AI30" s="53"/>
      <c r="AJ30" s="53"/>
      <c r="AK30" s="53">
        <f t="shared" si="41"/>
        <v>12.933931499999998</v>
      </c>
      <c r="AL30" s="53">
        <f t="shared" si="41"/>
        <v>16.172406000000002</v>
      </c>
      <c r="AM30" s="53">
        <f t="shared" si="41"/>
        <v>25.9277625</v>
      </c>
      <c r="AN30" s="53">
        <f t="shared" si="41"/>
        <v>36.78139125</v>
      </c>
      <c r="AO30" s="93">
        <f t="shared" si="0"/>
        <v>91.81549125000001</v>
      </c>
      <c r="AP30" s="53">
        <f>AP37/100*0.5</f>
        <v>27.982935</v>
      </c>
      <c r="AQ30" s="53">
        <f>AQ37/100*0.5</f>
        <v>24.489486000000003</v>
      </c>
      <c r="AR30" s="53">
        <f>AR37/100*0.5</f>
        <v>17.665074</v>
      </c>
      <c r="AS30" s="53">
        <f t="shared" si="42"/>
        <v>24.047124750000002</v>
      </c>
      <c r="AT30" s="53">
        <f t="shared" si="42"/>
        <v>0</v>
      </c>
      <c r="AU30" s="53">
        <f t="shared" si="42"/>
        <v>2.156841</v>
      </c>
      <c r="AV30" s="53">
        <f t="shared" si="42"/>
        <v>3.9464820000000005</v>
      </c>
      <c r="AW30" s="53">
        <f t="shared" si="42"/>
        <v>6.431049000000001</v>
      </c>
      <c r="AX30" s="53">
        <f t="shared" si="42"/>
        <v>22.172454</v>
      </c>
      <c r="AY30" s="53">
        <f t="shared" si="42"/>
        <v>36.387913499999996</v>
      </c>
      <c r="AZ30" s="53">
        <f t="shared" si="42"/>
        <v>62.22662999999999</v>
      </c>
      <c r="BA30" s="53">
        <f t="shared" si="42"/>
        <v>73.5627825</v>
      </c>
      <c r="BB30" s="93">
        <f t="shared" si="2"/>
        <v>301.06877175</v>
      </c>
      <c r="BC30" s="53">
        <f t="shared" si="43"/>
        <v>41.9744025</v>
      </c>
      <c r="BD30" s="53">
        <f t="shared" si="43"/>
        <v>52.477470000000004</v>
      </c>
      <c r="BE30" s="53">
        <f t="shared" si="43"/>
        <v>48.5789535</v>
      </c>
      <c r="BF30" s="53">
        <f t="shared" si="43"/>
        <v>50.28035175</v>
      </c>
      <c r="BG30" s="53">
        <f t="shared" si="43"/>
        <v>0</v>
      </c>
      <c r="BH30" s="53">
        <f t="shared" si="43"/>
        <v>8.627364</v>
      </c>
      <c r="BI30" s="53">
        <f t="shared" si="43"/>
        <v>7.892964000000001</v>
      </c>
      <c r="BJ30" s="53">
        <f t="shared" si="43"/>
        <v>16.0776225</v>
      </c>
      <c r="BK30" s="53">
        <f t="shared" si="43"/>
        <v>14.781636</v>
      </c>
      <c r="BL30" s="53">
        <f t="shared" si="43"/>
        <v>36.387913499999996</v>
      </c>
      <c r="BM30" s="53">
        <f t="shared" si="43"/>
        <v>62.22662999999999</v>
      </c>
      <c r="BN30" s="53">
        <f t="shared" si="43"/>
        <v>73.5627825</v>
      </c>
      <c r="BO30" s="93">
        <f t="shared" si="4"/>
        <v>412.86809024999997</v>
      </c>
      <c r="BP30" s="53">
        <f t="shared" si="44"/>
        <v>41.9744025</v>
      </c>
      <c r="BQ30" s="53">
        <f t="shared" si="44"/>
        <v>52.477470000000004</v>
      </c>
      <c r="BR30" s="53">
        <f t="shared" si="44"/>
        <v>50.78708775</v>
      </c>
      <c r="BS30" s="53">
        <f t="shared" si="44"/>
        <v>50.28035175</v>
      </c>
      <c r="BT30" s="53">
        <f t="shared" si="44"/>
        <v>0</v>
      </c>
      <c r="BU30" s="53">
        <f t="shared" si="44"/>
        <v>6.470523000000001</v>
      </c>
      <c r="BV30" s="53">
        <f t="shared" si="44"/>
        <v>7.892964000000001</v>
      </c>
      <c r="BW30" s="53">
        <f t="shared" si="44"/>
        <v>17.68538475</v>
      </c>
      <c r="BX30" s="53">
        <f t="shared" si="44"/>
        <v>12.933931499999998</v>
      </c>
      <c r="BY30" s="53">
        <f t="shared" si="44"/>
        <v>36.387913499999996</v>
      </c>
      <c r="BZ30" s="53">
        <f t="shared" si="44"/>
        <v>62.22662999999999</v>
      </c>
      <c r="CA30" s="53">
        <f t="shared" si="44"/>
        <v>73.5627825</v>
      </c>
      <c r="CB30" s="93">
        <f t="shared" si="5"/>
        <v>412.67944125</v>
      </c>
      <c r="CC30" s="53">
        <f t="shared" si="45"/>
        <v>41.9744025</v>
      </c>
      <c r="CD30" s="53">
        <f t="shared" si="45"/>
        <v>52.477470000000004</v>
      </c>
      <c r="CE30" s="53">
        <f t="shared" si="45"/>
        <v>50.78708775</v>
      </c>
      <c r="CF30" s="53">
        <f t="shared" si="45"/>
        <v>50.28035175</v>
      </c>
      <c r="CG30" s="53">
        <f t="shared" si="45"/>
        <v>0</v>
      </c>
      <c r="CH30" s="53">
        <f t="shared" si="45"/>
        <v>6.470523000000001</v>
      </c>
      <c r="CI30" s="53">
        <f t="shared" si="45"/>
        <v>7.892964000000001</v>
      </c>
      <c r="CJ30" s="53">
        <f t="shared" si="45"/>
        <v>17.68538475</v>
      </c>
      <c r="CK30" s="53">
        <f t="shared" si="45"/>
        <v>14.781636</v>
      </c>
      <c r="CL30" s="53">
        <f t="shared" si="45"/>
        <v>34.36636275</v>
      </c>
      <c r="CM30" s="53">
        <f t="shared" si="45"/>
        <v>62.22662999999999</v>
      </c>
      <c r="CN30" s="53">
        <f t="shared" si="45"/>
        <v>73.5627825</v>
      </c>
      <c r="CO30" s="93">
        <f t="shared" si="6"/>
        <v>412.505595</v>
      </c>
      <c r="CP30" s="53">
        <f t="shared" si="46"/>
        <v>41.9744025</v>
      </c>
      <c r="CQ30" s="53">
        <f t="shared" si="46"/>
        <v>52.477470000000004</v>
      </c>
      <c r="CR30" s="53">
        <f t="shared" si="46"/>
        <v>50.78708775</v>
      </c>
      <c r="CS30" s="53">
        <f t="shared" si="46"/>
        <v>50.28035175</v>
      </c>
      <c r="CT30" s="53">
        <f t="shared" si="46"/>
        <v>0</v>
      </c>
      <c r="CU30" s="53">
        <f t="shared" si="46"/>
        <v>8.627364</v>
      </c>
      <c r="CV30" s="53">
        <f t="shared" si="46"/>
        <v>5.919723</v>
      </c>
      <c r="CW30" s="53">
        <f t="shared" si="46"/>
        <v>17.68538475</v>
      </c>
      <c r="CX30" s="53">
        <f t="shared" si="46"/>
        <v>14.781636</v>
      </c>
      <c r="CY30" s="53">
        <f t="shared" si="46"/>
        <v>36.387913499999996</v>
      </c>
      <c r="CZ30" s="53">
        <f t="shared" si="46"/>
        <v>59.63385375</v>
      </c>
      <c r="DA30" s="53">
        <f t="shared" si="46"/>
        <v>73.5627825</v>
      </c>
      <c r="DB30" s="93">
        <f t="shared" si="7"/>
        <v>412.11796949999996</v>
      </c>
      <c r="DC30" s="53">
        <f t="shared" si="47"/>
        <v>41.9744025</v>
      </c>
      <c r="DD30" s="53">
        <f t="shared" si="47"/>
        <v>52.477470000000004</v>
      </c>
      <c r="DE30" s="53">
        <f t="shared" si="47"/>
        <v>50.78708775</v>
      </c>
      <c r="DF30" s="53">
        <f t="shared" si="47"/>
        <v>50.28035175</v>
      </c>
      <c r="DG30" s="53">
        <f t="shared" si="47"/>
        <v>0</v>
      </c>
      <c r="DH30" s="53">
        <f t="shared" si="47"/>
        <v>8.627364</v>
      </c>
      <c r="DI30" s="53">
        <f t="shared" si="47"/>
        <v>5.919723</v>
      </c>
      <c r="DJ30" s="53">
        <f t="shared" si="47"/>
        <v>17.68538475</v>
      </c>
      <c r="DK30" s="53">
        <f t="shared" si="47"/>
        <v>14.781636</v>
      </c>
      <c r="DL30" s="53">
        <f t="shared" si="47"/>
        <v>36.387913499999996</v>
      </c>
      <c r="DM30" s="53">
        <f t="shared" si="47"/>
        <v>62.22662999999999</v>
      </c>
      <c r="DN30" s="53">
        <f t="shared" si="47"/>
        <v>73.5627825</v>
      </c>
      <c r="DO30" s="93">
        <f t="shared" si="8"/>
        <v>414.71074575</v>
      </c>
      <c r="DP30" s="53">
        <f t="shared" si="48"/>
        <v>41.9744025</v>
      </c>
      <c r="DQ30" s="53">
        <f t="shared" si="48"/>
        <v>52.477470000000004</v>
      </c>
      <c r="DR30" s="53">
        <f t="shared" si="48"/>
        <v>48.5789535</v>
      </c>
      <c r="DS30" s="53">
        <f t="shared" si="48"/>
        <v>50.28035175</v>
      </c>
      <c r="DT30" s="53">
        <f t="shared" si="48"/>
        <v>0</v>
      </c>
      <c r="DU30" s="53">
        <f t="shared" si="48"/>
        <v>8.627364</v>
      </c>
      <c r="DV30" s="53">
        <f t="shared" si="48"/>
        <v>7.892964000000001</v>
      </c>
      <c r="DW30" s="53">
        <f t="shared" si="48"/>
        <v>16.0776225</v>
      </c>
      <c r="DX30" s="53">
        <f t="shared" si="48"/>
        <v>14.781636</v>
      </c>
      <c r="DY30" s="53">
        <f t="shared" si="48"/>
        <v>36.387913499999996</v>
      </c>
      <c r="DZ30" s="53">
        <f t="shared" si="48"/>
        <v>62.22662999999999</v>
      </c>
      <c r="EA30" s="53">
        <f t="shared" si="48"/>
        <v>73.5627825</v>
      </c>
      <c r="EB30" s="93">
        <f t="shared" si="10"/>
        <v>412.86809024999997</v>
      </c>
      <c r="EC30" s="53">
        <f t="shared" si="49"/>
        <v>41.9744025</v>
      </c>
      <c r="ED30" s="53">
        <f t="shared" si="49"/>
        <v>52.477470000000004</v>
      </c>
      <c r="EE30" s="53">
        <f t="shared" si="49"/>
        <v>48.5789535</v>
      </c>
      <c r="EF30" s="53">
        <f t="shared" si="49"/>
        <v>50.28035175</v>
      </c>
      <c r="EG30" s="53">
        <f t="shared" si="49"/>
        <v>0</v>
      </c>
      <c r="EH30" s="53">
        <f t="shared" si="49"/>
        <v>8.627364</v>
      </c>
      <c r="EI30" s="53">
        <f t="shared" si="49"/>
        <v>7.892964000000001</v>
      </c>
      <c r="EJ30" s="53">
        <f t="shared" si="49"/>
        <v>17.68538475</v>
      </c>
      <c r="EK30" s="53">
        <f t="shared" si="49"/>
        <v>12.933931499999998</v>
      </c>
      <c r="EL30" s="53">
        <f t="shared" si="49"/>
        <v>36.387913499999996</v>
      </c>
      <c r="EM30" s="53">
        <f t="shared" si="49"/>
        <v>62.22662999999999</v>
      </c>
      <c r="EN30" s="53">
        <f t="shared" si="49"/>
        <v>73.5627825</v>
      </c>
      <c r="EO30" s="93">
        <f t="shared" si="12"/>
        <v>412.628148</v>
      </c>
      <c r="EP30" s="53">
        <f t="shared" si="50"/>
        <v>41.9744025</v>
      </c>
      <c r="EQ30" s="53">
        <f t="shared" si="50"/>
        <v>52.477470000000004</v>
      </c>
      <c r="ER30" s="53">
        <f t="shared" si="50"/>
        <v>50.78708775</v>
      </c>
      <c r="ES30" s="53">
        <f t="shared" si="50"/>
        <v>50.28035175</v>
      </c>
      <c r="ET30" s="53">
        <f t="shared" si="50"/>
        <v>0</v>
      </c>
      <c r="EU30" s="53">
        <f t="shared" si="50"/>
        <v>6.470523000000001</v>
      </c>
      <c r="EV30" s="53">
        <f t="shared" si="50"/>
        <v>7.892964000000001</v>
      </c>
      <c r="EW30" s="53">
        <f t="shared" si="50"/>
        <v>17.68538475</v>
      </c>
      <c r="EX30" s="53">
        <f t="shared" si="50"/>
        <v>12.933931499999998</v>
      </c>
      <c r="EY30" s="53">
        <f t="shared" si="50"/>
        <v>36.387913499999996</v>
      </c>
      <c r="EZ30" s="53">
        <f t="shared" si="50"/>
        <v>62.22662999999999</v>
      </c>
      <c r="FA30" s="53">
        <f t="shared" si="50"/>
        <v>73.5627825</v>
      </c>
      <c r="FB30" s="93">
        <f t="shared" si="13"/>
        <v>412.67944125</v>
      </c>
      <c r="FC30" s="53">
        <f t="shared" si="51"/>
        <v>41.9744025</v>
      </c>
      <c r="FD30" s="53">
        <f t="shared" si="51"/>
        <v>52.477470000000004</v>
      </c>
      <c r="FE30" s="53">
        <f t="shared" si="51"/>
        <v>50.78708775</v>
      </c>
      <c r="FF30" s="53">
        <f t="shared" si="51"/>
        <v>50.28035175</v>
      </c>
      <c r="FG30" s="53">
        <f t="shared" si="51"/>
        <v>0</v>
      </c>
      <c r="FH30" s="53">
        <f t="shared" si="51"/>
        <v>6.470523000000001</v>
      </c>
      <c r="FI30" s="53">
        <f t="shared" si="51"/>
        <v>7.892964000000001</v>
      </c>
      <c r="FJ30" s="53">
        <f t="shared" si="51"/>
        <v>17.68538475</v>
      </c>
      <c r="FK30" s="53">
        <f t="shared" si="51"/>
        <v>14.781636</v>
      </c>
      <c r="FL30" s="53">
        <f t="shared" si="51"/>
        <v>34.36636275</v>
      </c>
      <c r="FM30" s="53">
        <f t="shared" si="51"/>
        <v>62.22662999999999</v>
      </c>
      <c r="FN30" s="53">
        <f t="shared" si="51"/>
        <v>73.5627825</v>
      </c>
      <c r="FO30" s="93">
        <f t="shared" si="14"/>
        <v>412.505595</v>
      </c>
      <c r="FP30" s="53">
        <f t="shared" si="52"/>
        <v>41.9744025</v>
      </c>
      <c r="FQ30" s="53">
        <f t="shared" si="52"/>
        <v>52.477470000000004</v>
      </c>
      <c r="FR30" s="53">
        <f t="shared" si="52"/>
        <v>50.78708775</v>
      </c>
      <c r="FS30" s="53">
        <f t="shared" si="52"/>
        <v>50.28035175</v>
      </c>
      <c r="FT30" s="53">
        <f t="shared" si="52"/>
        <v>0</v>
      </c>
      <c r="FU30" s="53">
        <f t="shared" si="52"/>
        <v>8.627364</v>
      </c>
      <c r="FV30" s="53">
        <f t="shared" si="52"/>
        <v>5.919723</v>
      </c>
      <c r="FW30" s="53">
        <f t="shared" si="52"/>
        <v>17.68538475</v>
      </c>
      <c r="FX30" s="53">
        <f t="shared" si="52"/>
        <v>14.781636</v>
      </c>
      <c r="FY30" s="53">
        <f t="shared" si="52"/>
        <v>36.387913499999996</v>
      </c>
      <c r="FZ30" s="53">
        <f t="shared" si="52"/>
        <v>59.63385375</v>
      </c>
      <c r="GA30" s="53">
        <f t="shared" si="52"/>
        <v>73.5627825</v>
      </c>
      <c r="GB30" s="93">
        <f t="shared" si="15"/>
        <v>412.11796949999996</v>
      </c>
      <c r="GC30" s="53">
        <f aca="true" t="shared" si="55" ref="GC30:GN30">GC37/100*0.5</f>
        <v>41.9744025</v>
      </c>
      <c r="GD30" s="53">
        <f t="shared" si="55"/>
        <v>52.477470000000004</v>
      </c>
      <c r="GE30" s="53">
        <f t="shared" si="55"/>
        <v>50.78708775</v>
      </c>
      <c r="GF30" s="53">
        <f t="shared" si="55"/>
        <v>50.28035175</v>
      </c>
      <c r="GG30" s="53">
        <f t="shared" si="55"/>
        <v>0</v>
      </c>
      <c r="GH30" s="53">
        <f t="shared" si="55"/>
        <v>8.627364</v>
      </c>
      <c r="GI30" s="53">
        <f t="shared" si="55"/>
        <v>7.892964000000001</v>
      </c>
      <c r="GJ30" s="53">
        <f t="shared" si="55"/>
        <v>16.0776225</v>
      </c>
      <c r="GK30" s="53">
        <f t="shared" si="55"/>
        <v>14.781636</v>
      </c>
      <c r="GL30" s="53">
        <f t="shared" si="55"/>
        <v>36.387913499999996</v>
      </c>
      <c r="GM30" s="53">
        <f t="shared" si="55"/>
        <v>62.22662999999999</v>
      </c>
      <c r="GN30" s="53">
        <f t="shared" si="55"/>
        <v>73.5627825</v>
      </c>
      <c r="GO30" s="93">
        <f t="shared" si="16"/>
        <v>415.07622449999997</v>
      </c>
      <c r="GP30" s="53">
        <f aca="true" t="shared" si="56" ref="GP30:HA30">GP37/100*0.5</f>
        <v>41.9744025</v>
      </c>
      <c r="GQ30" s="53">
        <f t="shared" si="56"/>
        <v>52.477470000000004</v>
      </c>
      <c r="GR30" s="53">
        <f t="shared" si="56"/>
        <v>48.5789535</v>
      </c>
      <c r="GS30" s="53">
        <f t="shared" si="56"/>
        <v>50.28035175</v>
      </c>
      <c r="GT30" s="53">
        <f t="shared" si="56"/>
        <v>0</v>
      </c>
      <c r="GU30" s="53">
        <f t="shared" si="56"/>
        <v>8.627364</v>
      </c>
      <c r="GV30" s="53">
        <f t="shared" si="56"/>
        <v>7.892964000000001</v>
      </c>
      <c r="GW30" s="53">
        <f t="shared" si="56"/>
        <v>16.0776225</v>
      </c>
      <c r="GX30" s="53">
        <f t="shared" si="56"/>
        <v>14.781636</v>
      </c>
      <c r="GY30" s="53">
        <f t="shared" si="56"/>
        <v>36.387913499999996</v>
      </c>
      <c r="GZ30" s="53">
        <f t="shared" si="56"/>
        <v>62.22662999999999</v>
      </c>
      <c r="HA30" s="53">
        <f t="shared" si="56"/>
        <v>73.5627825</v>
      </c>
      <c r="HB30" s="93">
        <f t="shared" si="18"/>
        <v>412.86809024999997</v>
      </c>
      <c r="HC30" s="49">
        <f t="shared" si="19"/>
        <v>5348.5096635</v>
      </c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9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9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93"/>
      <c r="IP30" s="53"/>
      <c r="IQ30" s="53"/>
      <c r="IR30" s="53"/>
      <c r="IS30" s="53"/>
      <c r="IT30" s="53"/>
      <c r="IU30" s="53"/>
      <c r="IV30" s="53"/>
    </row>
    <row r="31" spans="1:256" s="56" customFormat="1" ht="14.25" outlineLevel="2">
      <c r="A31" s="30"/>
      <c r="B31" s="99" t="s">
        <v>394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95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95"/>
      <c r="AC31" s="53"/>
      <c r="AD31" s="53"/>
      <c r="AE31" s="53"/>
      <c r="AF31" s="53"/>
      <c r="AG31" s="53"/>
      <c r="AH31" s="53"/>
      <c r="AI31" s="53"/>
      <c r="AJ31" s="53"/>
      <c r="AK31" s="53">
        <f t="shared" si="41"/>
        <v>3.0552865</v>
      </c>
      <c r="AL31" s="53">
        <f t="shared" si="41"/>
        <v>3.4917559999999996</v>
      </c>
      <c r="AM31" s="53">
        <f t="shared" si="41"/>
        <v>5.150532000000001</v>
      </c>
      <c r="AN31" s="53">
        <f t="shared" si="41"/>
        <v>7.725798000000001</v>
      </c>
      <c r="AO31" s="93">
        <f t="shared" si="0"/>
        <v>19.423372500000003</v>
      </c>
      <c r="AP31" s="53">
        <f>AP38/100*0.5</f>
        <v>10.301064000000002</v>
      </c>
      <c r="AQ31" s="53">
        <f>AQ38/100*0.5</f>
        <v>7.2107448</v>
      </c>
      <c r="AR31" s="53">
        <f>AR38/100*0.5</f>
        <v>4.1204256</v>
      </c>
      <c r="AS31" s="53">
        <f t="shared" si="42"/>
        <v>5.665585200000001</v>
      </c>
      <c r="AT31" s="53">
        <f t="shared" si="42"/>
        <v>0</v>
      </c>
      <c r="AU31" s="53">
        <f t="shared" si="42"/>
        <v>0.43646949999999995</v>
      </c>
      <c r="AV31" s="53">
        <f t="shared" si="42"/>
        <v>0.8729389999999999</v>
      </c>
      <c r="AW31" s="53">
        <f t="shared" si="42"/>
        <v>1.7458779999999998</v>
      </c>
      <c r="AX31" s="53">
        <f t="shared" si="42"/>
        <v>5.237633999999999</v>
      </c>
      <c r="AY31" s="53">
        <f t="shared" si="42"/>
        <v>7.856451</v>
      </c>
      <c r="AZ31" s="53">
        <f t="shared" si="42"/>
        <v>12.361276799999999</v>
      </c>
      <c r="BA31" s="53">
        <f t="shared" si="42"/>
        <v>15.451596000000002</v>
      </c>
      <c r="BB31" s="93">
        <f t="shared" si="2"/>
        <v>71.2600639</v>
      </c>
      <c r="BC31" s="53">
        <f t="shared" si="43"/>
        <v>15.451596000000002</v>
      </c>
      <c r="BD31" s="53">
        <f t="shared" si="43"/>
        <v>15.451596000000002</v>
      </c>
      <c r="BE31" s="53">
        <f t="shared" si="43"/>
        <v>11.331170400000001</v>
      </c>
      <c r="BF31" s="53">
        <f t="shared" si="43"/>
        <v>11.8462236</v>
      </c>
      <c r="BG31" s="53">
        <f t="shared" si="43"/>
        <v>0</v>
      </c>
      <c r="BH31" s="53">
        <f t="shared" si="43"/>
        <v>1.7458779999999998</v>
      </c>
      <c r="BI31" s="53">
        <f t="shared" si="43"/>
        <v>1.7458779999999998</v>
      </c>
      <c r="BJ31" s="53">
        <f t="shared" si="43"/>
        <v>4.364695</v>
      </c>
      <c r="BK31" s="53">
        <f t="shared" si="43"/>
        <v>3.4917559999999996</v>
      </c>
      <c r="BL31" s="53">
        <f t="shared" si="43"/>
        <v>7.856451</v>
      </c>
      <c r="BM31" s="53">
        <f t="shared" si="43"/>
        <v>12.361276799999999</v>
      </c>
      <c r="BN31" s="53">
        <f t="shared" si="43"/>
        <v>15.451596000000002</v>
      </c>
      <c r="BO31" s="93">
        <f t="shared" si="4"/>
        <v>101.09811679999999</v>
      </c>
      <c r="BP31" s="53">
        <f t="shared" si="44"/>
        <v>15.451596000000002</v>
      </c>
      <c r="BQ31" s="53">
        <f t="shared" si="44"/>
        <v>15.451596000000002</v>
      </c>
      <c r="BR31" s="53">
        <f t="shared" si="44"/>
        <v>11.8462236</v>
      </c>
      <c r="BS31" s="53">
        <f t="shared" si="44"/>
        <v>11.8462236</v>
      </c>
      <c r="BT31" s="53">
        <f t="shared" si="44"/>
        <v>0</v>
      </c>
      <c r="BU31" s="53">
        <f t="shared" si="44"/>
        <v>1.3094084999999998</v>
      </c>
      <c r="BV31" s="53">
        <f t="shared" si="44"/>
        <v>1.7458779999999998</v>
      </c>
      <c r="BW31" s="53">
        <f t="shared" si="44"/>
        <v>4.8011645</v>
      </c>
      <c r="BX31" s="53">
        <f t="shared" si="44"/>
        <v>3.0552865</v>
      </c>
      <c r="BY31" s="53">
        <f t="shared" si="44"/>
        <v>7.856451</v>
      </c>
      <c r="BZ31" s="53">
        <f t="shared" si="44"/>
        <v>12.361276799999999</v>
      </c>
      <c r="CA31" s="53">
        <f t="shared" si="44"/>
        <v>15.451596000000002</v>
      </c>
      <c r="CB31" s="93">
        <f t="shared" si="5"/>
        <v>101.17670049999998</v>
      </c>
      <c r="CC31" s="53">
        <f t="shared" si="45"/>
        <v>15.451596000000002</v>
      </c>
      <c r="CD31" s="53">
        <f t="shared" si="45"/>
        <v>15.451596000000002</v>
      </c>
      <c r="CE31" s="53">
        <f t="shared" si="45"/>
        <v>11.8462236</v>
      </c>
      <c r="CF31" s="53">
        <f t="shared" si="45"/>
        <v>11.8462236</v>
      </c>
      <c r="CG31" s="53">
        <f t="shared" si="45"/>
        <v>0</v>
      </c>
      <c r="CH31" s="53">
        <f t="shared" si="45"/>
        <v>1.3094084999999998</v>
      </c>
      <c r="CI31" s="53">
        <f t="shared" si="45"/>
        <v>1.7458779999999998</v>
      </c>
      <c r="CJ31" s="53">
        <f t="shared" si="45"/>
        <v>4.8011645</v>
      </c>
      <c r="CK31" s="53">
        <f t="shared" si="45"/>
        <v>3.4917559999999996</v>
      </c>
      <c r="CL31" s="53">
        <f t="shared" si="45"/>
        <v>7.419981499999999</v>
      </c>
      <c r="CM31" s="53">
        <f t="shared" si="45"/>
        <v>12.361276799999999</v>
      </c>
      <c r="CN31" s="53">
        <f t="shared" si="45"/>
        <v>15.451596000000002</v>
      </c>
      <c r="CO31" s="93">
        <f t="shared" si="6"/>
        <v>101.17670049999998</v>
      </c>
      <c r="CP31" s="53">
        <f t="shared" si="46"/>
        <v>15.451596000000002</v>
      </c>
      <c r="CQ31" s="53">
        <f t="shared" si="46"/>
        <v>15.451596000000002</v>
      </c>
      <c r="CR31" s="53">
        <f t="shared" si="46"/>
        <v>11.8462236</v>
      </c>
      <c r="CS31" s="53">
        <f t="shared" si="46"/>
        <v>11.8462236</v>
      </c>
      <c r="CT31" s="53">
        <f t="shared" si="46"/>
        <v>0</v>
      </c>
      <c r="CU31" s="53">
        <f t="shared" si="46"/>
        <v>1.7458779999999998</v>
      </c>
      <c r="CV31" s="53">
        <f t="shared" si="46"/>
        <v>1.3094084999999998</v>
      </c>
      <c r="CW31" s="53">
        <f t="shared" si="46"/>
        <v>4.8011645</v>
      </c>
      <c r="CX31" s="53">
        <f t="shared" si="46"/>
        <v>3.4917559999999996</v>
      </c>
      <c r="CY31" s="53">
        <f t="shared" si="46"/>
        <v>7.856451</v>
      </c>
      <c r="CZ31" s="53">
        <f t="shared" si="46"/>
        <v>11.8462236</v>
      </c>
      <c r="DA31" s="53">
        <f t="shared" si="46"/>
        <v>15.451596000000002</v>
      </c>
      <c r="DB31" s="93">
        <f t="shared" si="7"/>
        <v>101.09811679999999</v>
      </c>
      <c r="DC31" s="53">
        <f t="shared" si="47"/>
        <v>15.451596000000002</v>
      </c>
      <c r="DD31" s="53">
        <f t="shared" si="47"/>
        <v>15.451596000000002</v>
      </c>
      <c r="DE31" s="53">
        <f t="shared" si="47"/>
        <v>11.8462236</v>
      </c>
      <c r="DF31" s="53">
        <f t="shared" si="47"/>
        <v>11.8462236</v>
      </c>
      <c r="DG31" s="53">
        <f t="shared" si="47"/>
        <v>0</v>
      </c>
      <c r="DH31" s="53">
        <f t="shared" si="47"/>
        <v>1.7458779999999998</v>
      </c>
      <c r="DI31" s="53">
        <f t="shared" si="47"/>
        <v>1.3094084999999998</v>
      </c>
      <c r="DJ31" s="53">
        <f t="shared" si="47"/>
        <v>4.8011645</v>
      </c>
      <c r="DK31" s="53">
        <f t="shared" si="47"/>
        <v>3.4917559999999996</v>
      </c>
      <c r="DL31" s="53">
        <f t="shared" si="47"/>
        <v>7.856451</v>
      </c>
      <c r="DM31" s="53">
        <f t="shared" si="47"/>
        <v>12.361276799999999</v>
      </c>
      <c r="DN31" s="53">
        <f t="shared" si="47"/>
        <v>15.451596000000002</v>
      </c>
      <c r="DO31" s="93">
        <f t="shared" si="8"/>
        <v>101.61317</v>
      </c>
      <c r="DP31" s="53">
        <f t="shared" si="48"/>
        <v>15.451596000000002</v>
      </c>
      <c r="DQ31" s="53">
        <f t="shared" si="48"/>
        <v>15.451596000000002</v>
      </c>
      <c r="DR31" s="53">
        <f t="shared" si="48"/>
        <v>11.331170400000001</v>
      </c>
      <c r="DS31" s="53">
        <f t="shared" si="48"/>
        <v>11.8462236</v>
      </c>
      <c r="DT31" s="53">
        <f t="shared" si="48"/>
        <v>0</v>
      </c>
      <c r="DU31" s="53">
        <f t="shared" si="48"/>
        <v>1.7458779999999998</v>
      </c>
      <c r="DV31" s="53">
        <f t="shared" si="48"/>
        <v>1.7458779999999998</v>
      </c>
      <c r="DW31" s="53">
        <f t="shared" si="48"/>
        <v>4.364695</v>
      </c>
      <c r="DX31" s="53">
        <f t="shared" si="48"/>
        <v>3.4917559999999996</v>
      </c>
      <c r="DY31" s="53">
        <f t="shared" si="48"/>
        <v>7.856451</v>
      </c>
      <c r="DZ31" s="53">
        <f t="shared" si="48"/>
        <v>12.361276799999999</v>
      </c>
      <c r="EA31" s="53">
        <f t="shared" si="48"/>
        <v>15.451596000000002</v>
      </c>
      <c r="EB31" s="93">
        <f t="shared" si="10"/>
        <v>101.09811679999999</v>
      </c>
      <c r="EC31" s="53">
        <f t="shared" si="49"/>
        <v>15.451596000000002</v>
      </c>
      <c r="ED31" s="53">
        <f t="shared" si="49"/>
        <v>15.451596000000002</v>
      </c>
      <c r="EE31" s="53">
        <f t="shared" si="49"/>
        <v>11.331170400000001</v>
      </c>
      <c r="EF31" s="53">
        <f t="shared" si="49"/>
        <v>11.8462236</v>
      </c>
      <c r="EG31" s="53">
        <f t="shared" si="49"/>
        <v>0</v>
      </c>
      <c r="EH31" s="53">
        <f t="shared" si="49"/>
        <v>1.7458779999999998</v>
      </c>
      <c r="EI31" s="53">
        <f t="shared" si="49"/>
        <v>1.7458779999999998</v>
      </c>
      <c r="EJ31" s="53">
        <f t="shared" si="49"/>
        <v>4.8011645</v>
      </c>
      <c r="EK31" s="53">
        <f t="shared" si="49"/>
        <v>3.0552865</v>
      </c>
      <c r="EL31" s="53">
        <f t="shared" si="49"/>
        <v>7.856451</v>
      </c>
      <c r="EM31" s="53">
        <f t="shared" si="49"/>
        <v>12.361276799999999</v>
      </c>
      <c r="EN31" s="53">
        <f t="shared" si="49"/>
        <v>15.451596000000002</v>
      </c>
      <c r="EO31" s="93">
        <f t="shared" si="12"/>
        <v>101.09811679999999</v>
      </c>
      <c r="EP31" s="53">
        <f t="shared" si="50"/>
        <v>15.451596000000002</v>
      </c>
      <c r="EQ31" s="53">
        <f t="shared" si="50"/>
        <v>15.451596000000002</v>
      </c>
      <c r="ER31" s="53">
        <f t="shared" si="50"/>
        <v>11.8462236</v>
      </c>
      <c r="ES31" s="53">
        <f t="shared" si="50"/>
        <v>11.8462236</v>
      </c>
      <c r="ET31" s="53">
        <f t="shared" si="50"/>
        <v>0</v>
      </c>
      <c r="EU31" s="53">
        <f t="shared" si="50"/>
        <v>1.3094084999999998</v>
      </c>
      <c r="EV31" s="53">
        <f t="shared" si="50"/>
        <v>1.7458779999999998</v>
      </c>
      <c r="EW31" s="53">
        <f t="shared" si="50"/>
        <v>4.8011645</v>
      </c>
      <c r="EX31" s="53">
        <f t="shared" si="50"/>
        <v>3.0552865</v>
      </c>
      <c r="EY31" s="53">
        <f t="shared" si="50"/>
        <v>7.856451</v>
      </c>
      <c r="EZ31" s="53">
        <f t="shared" si="50"/>
        <v>12.361276799999999</v>
      </c>
      <c r="FA31" s="53">
        <f t="shared" si="50"/>
        <v>15.451596000000002</v>
      </c>
      <c r="FB31" s="93">
        <f t="shared" si="13"/>
        <v>101.17670049999998</v>
      </c>
      <c r="FC31" s="53">
        <f t="shared" si="51"/>
        <v>15.451596000000002</v>
      </c>
      <c r="FD31" s="53">
        <f t="shared" si="51"/>
        <v>15.451596000000002</v>
      </c>
      <c r="FE31" s="53">
        <f t="shared" si="51"/>
        <v>11.8462236</v>
      </c>
      <c r="FF31" s="53">
        <f t="shared" si="51"/>
        <v>11.8462236</v>
      </c>
      <c r="FG31" s="53">
        <f t="shared" si="51"/>
        <v>0</v>
      </c>
      <c r="FH31" s="53">
        <f t="shared" si="51"/>
        <v>1.3094084999999998</v>
      </c>
      <c r="FI31" s="53">
        <f t="shared" si="51"/>
        <v>1.7458779999999998</v>
      </c>
      <c r="FJ31" s="53">
        <f t="shared" si="51"/>
        <v>4.8011645</v>
      </c>
      <c r="FK31" s="53">
        <f t="shared" si="51"/>
        <v>3.4917559999999996</v>
      </c>
      <c r="FL31" s="53">
        <f t="shared" si="51"/>
        <v>7.419981499999999</v>
      </c>
      <c r="FM31" s="53">
        <f t="shared" si="51"/>
        <v>12.361276799999999</v>
      </c>
      <c r="FN31" s="53">
        <f t="shared" si="51"/>
        <v>15.451596000000002</v>
      </c>
      <c r="FO31" s="93">
        <f t="shared" si="14"/>
        <v>101.17670049999998</v>
      </c>
      <c r="FP31" s="53">
        <f t="shared" si="52"/>
        <v>15.451596000000002</v>
      </c>
      <c r="FQ31" s="53">
        <f t="shared" si="52"/>
        <v>15.451596000000002</v>
      </c>
      <c r="FR31" s="53">
        <f t="shared" si="52"/>
        <v>11.8462236</v>
      </c>
      <c r="FS31" s="53">
        <f t="shared" si="52"/>
        <v>11.8462236</v>
      </c>
      <c r="FT31" s="53">
        <f t="shared" si="52"/>
        <v>0</v>
      </c>
      <c r="FU31" s="53">
        <f t="shared" si="52"/>
        <v>1.7458779999999998</v>
      </c>
      <c r="FV31" s="53">
        <f t="shared" si="52"/>
        <v>1.3094084999999998</v>
      </c>
      <c r="FW31" s="53">
        <f t="shared" si="52"/>
        <v>4.8011645</v>
      </c>
      <c r="FX31" s="53">
        <f t="shared" si="52"/>
        <v>3.4917559999999996</v>
      </c>
      <c r="FY31" s="53">
        <f t="shared" si="52"/>
        <v>7.856451</v>
      </c>
      <c r="FZ31" s="53">
        <f t="shared" si="52"/>
        <v>11.8462236</v>
      </c>
      <c r="GA31" s="53">
        <f t="shared" si="52"/>
        <v>15.451596000000002</v>
      </c>
      <c r="GB31" s="93">
        <f t="shared" si="15"/>
        <v>101.09811679999999</v>
      </c>
      <c r="GC31" s="53">
        <f aca="true" t="shared" si="57" ref="GC31:GN31">GC38/100*0.5</f>
        <v>15.451596000000002</v>
      </c>
      <c r="GD31" s="53">
        <f t="shared" si="57"/>
        <v>15.451596000000002</v>
      </c>
      <c r="GE31" s="53">
        <f t="shared" si="57"/>
        <v>11.8462236</v>
      </c>
      <c r="GF31" s="53">
        <f t="shared" si="57"/>
        <v>11.8462236</v>
      </c>
      <c r="GG31" s="53">
        <f t="shared" si="57"/>
        <v>0</v>
      </c>
      <c r="GH31" s="53">
        <f t="shared" si="57"/>
        <v>1.7458779999999998</v>
      </c>
      <c r="GI31" s="53">
        <f t="shared" si="57"/>
        <v>1.7458779999999998</v>
      </c>
      <c r="GJ31" s="53">
        <f t="shared" si="57"/>
        <v>4.364695</v>
      </c>
      <c r="GK31" s="53">
        <f t="shared" si="57"/>
        <v>3.4917559999999996</v>
      </c>
      <c r="GL31" s="53">
        <f t="shared" si="57"/>
        <v>7.856451</v>
      </c>
      <c r="GM31" s="53">
        <f t="shared" si="57"/>
        <v>12.361276799999999</v>
      </c>
      <c r="GN31" s="53">
        <f t="shared" si="57"/>
        <v>15.451596000000002</v>
      </c>
      <c r="GO31" s="93">
        <f t="shared" si="16"/>
        <v>101.61317</v>
      </c>
      <c r="GP31" s="53">
        <f aca="true" t="shared" si="58" ref="GP31:HA31">GP38/100*0.5</f>
        <v>15.451596000000002</v>
      </c>
      <c r="GQ31" s="53">
        <f t="shared" si="58"/>
        <v>15.451596000000002</v>
      </c>
      <c r="GR31" s="53">
        <f t="shared" si="58"/>
        <v>11.331170400000001</v>
      </c>
      <c r="GS31" s="53">
        <f t="shared" si="58"/>
        <v>11.8462236</v>
      </c>
      <c r="GT31" s="53">
        <f t="shared" si="58"/>
        <v>0</v>
      </c>
      <c r="GU31" s="53">
        <f t="shared" si="58"/>
        <v>1.7458779999999998</v>
      </c>
      <c r="GV31" s="53">
        <f t="shared" si="58"/>
        <v>1.7458779999999998</v>
      </c>
      <c r="GW31" s="53">
        <f t="shared" si="58"/>
        <v>4.364695</v>
      </c>
      <c r="GX31" s="53">
        <f t="shared" si="58"/>
        <v>3.4917559999999996</v>
      </c>
      <c r="GY31" s="53">
        <f t="shared" si="58"/>
        <v>7.856451</v>
      </c>
      <c r="GZ31" s="53">
        <f t="shared" si="58"/>
        <v>12.361276799999999</v>
      </c>
      <c r="HA31" s="53">
        <f t="shared" si="58"/>
        <v>15.451596000000002</v>
      </c>
      <c r="HB31" s="93">
        <f t="shared" si="18"/>
        <v>101.09811679999999</v>
      </c>
      <c r="HC31" s="49">
        <f t="shared" si="19"/>
        <v>1305.2052791999997</v>
      </c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95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95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95"/>
      <c r="IP31" s="53"/>
      <c r="IQ31" s="53"/>
      <c r="IR31" s="53"/>
      <c r="IS31" s="53"/>
      <c r="IT31" s="53"/>
      <c r="IU31" s="53"/>
      <c r="IV31" s="53"/>
    </row>
    <row r="32" spans="2:256" ht="14.25" outlineLevel="3">
      <c r="B32" s="99" t="s">
        <v>395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9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93"/>
      <c r="AC32" s="53"/>
      <c r="AD32" s="53"/>
      <c r="AE32" s="53"/>
      <c r="AF32" s="53"/>
      <c r="AG32" s="53"/>
      <c r="AH32" s="53"/>
      <c r="AI32" s="53"/>
      <c r="AJ32" s="53"/>
      <c r="AK32" s="53">
        <f>AK40/100*0.5</f>
        <v>0.40514880000000003</v>
      </c>
      <c r="AL32" s="53">
        <f aca="true" t="shared" si="59" ref="AL32:AN33">AL40/100*0.5</f>
        <v>0.4630272</v>
      </c>
      <c r="AM32" s="53">
        <f t="shared" si="59"/>
        <v>0.578784</v>
      </c>
      <c r="AN32" s="53">
        <f t="shared" si="59"/>
        <v>0.868176</v>
      </c>
      <c r="AO32" s="93">
        <f t="shared" si="0"/>
        <v>2.315136</v>
      </c>
      <c r="AP32" s="53">
        <f aca="true" t="shared" si="60" ref="AP32:BA33">AP40/100*0.5</f>
        <v>1.157568</v>
      </c>
      <c r="AQ32" s="53">
        <f t="shared" si="60"/>
        <v>0.8102976000000001</v>
      </c>
      <c r="AR32" s="53">
        <f t="shared" si="60"/>
        <v>0.4630272</v>
      </c>
      <c r="AS32" s="53">
        <f t="shared" si="60"/>
        <v>0.6366624000000001</v>
      </c>
      <c r="AT32" s="53">
        <f t="shared" si="60"/>
        <v>0</v>
      </c>
      <c r="AU32" s="53">
        <f t="shared" si="60"/>
        <v>0.0578784</v>
      </c>
      <c r="AV32" s="53">
        <f t="shared" si="60"/>
        <v>0.1157568</v>
      </c>
      <c r="AW32" s="53">
        <f t="shared" si="60"/>
        <v>0.2315136</v>
      </c>
      <c r="AX32" s="53">
        <f t="shared" si="60"/>
        <v>0.6945408000000001</v>
      </c>
      <c r="AY32" s="53">
        <f t="shared" si="60"/>
        <v>1.0418112</v>
      </c>
      <c r="AZ32" s="53">
        <f t="shared" si="60"/>
        <v>1.3890816000000001</v>
      </c>
      <c r="BA32" s="53">
        <f t="shared" si="60"/>
        <v>1.736352</v>
      </c>
      <c r="BB32" s="93">
        <f t="shared" si="2"/>
        <v>8.334489600000001</v>
      </c>
      <c r="BC32" s="53">
        <f aca="true" t="shared" si="61" ref="BC32:BN33">BC40/100*0.5</f>
        <v>1.736352</v>
      </c>
      <c r="BD32" s="53">
        <f t="shared" si="61"/>
        <v>1.736352</v>
      </c>
      <c r="BE32" s="53">
        <f t="shared" si="61"/>
        <v>1.2733248000000001</v>
      </c>
      <c r="BF32" s="53">
        <f t="shared" si="61"/>
        <v>1.3312032000000003</v>
      </c>
      <c r="BG32" s="53">
        <f t="shared" si="61"/>
        <v>0</v>
      </c>
      <c r="BH32" s="53">
        <f t="shared" si="61"/>
        <v>0.2315136</v>
      </c>
      <c r="BI32" s="53">
        <f t="shared" si="61"/>
        <v>0.2315136</v>
      </c>
      <c r="BJ32" s="53">
        <f t="shared" si="61"/>
        <v>0.578784</v>
      </c>
      <c r="BK32" s="53">
        <f t="shared" si="61"/>
        <v>0.4630272</v>
      </c>
      <c r="BL32" s="53">
        <f t="shared" si="61"/>
        <v>1.0418112</v>
      </c>
      <c r="BM32" s="53">
        <f t="shared" si="61"/>
        <v>1.3890816000000001</v>
      </c>
      <c r="BN32" s="53">
        <f t="shared" si="61"/>
        <v>1.736352</v>
      </c>
      <c r="BO32" s="93">
        <f t="shared" si="4"/>
        <v>11.749315200000002</v>
      </c>
      <c r="BP32" s="53">
        <f aca="true" t="shared" si="62" ref="BP32:CA33">BP40/100*0.5</f>
        <v>1.736352</v>
      </c>
      <c r="BQ32" s="53">
        <f t="shared" si="62"/>
        <v>1.736352</v>
      </c>
      <c r="BR32" s="53">
        <f t="shared" si="62"/>
        <v>1.3312032000000003</v>
      </c>
      <c r="BS32" s="53">
        <f t="shared" si="62"/>
        <v>1.3312032000000003</v>
      </c>
      <c r="BT32" s="53">
        <f t="shared" si="62"/>
        <v>0</v>
      </c>
      <c r="BU32" s="53">
        <f t="shared" si="62"/>
        <v>0.17363520000000002</v>
      </c>
      <c r="BV32" s="53">
        <f t="shared" si="62"/>
        <v>0.2315136</v>
      </c>
      <c r="BW32" s="53">
        <f t="shared" si="62"/>
        <v>0.6366624000000001</v>
      </c>
      <c r="BX32" s="53">
        <f t="shared" si="62"/>
        <v>0.40514880000000003</v>
      </c>
      <c r="BY32" s="53">
        <f t="shared" si="62"/>
        <v>1.0418112</v>
      </c>
      <c r="BZ32" s="53">
        <f t="shared" si="62"/>
        <v>1.3890816000000001</v>
      </c>
      <c r="CA32" s="53">
        <f t="shared" si="62"/>
        <v>1.736352</v>
      </c>
      <c r="CB32" s="93">
        <f t="shared" si="5"/>
        <v>11.749315200000002</v>
      </c>
      <c r="CC32" s="53">
        <f aca="true" t="shared" si="63" ref="CC32:CN33">CC40/100*0.5</f>
        <v>1.736352</v>
      </c>
      <c r="CD32" s="53">
        <f t="shared" si="63"/>
        <v>1.736352</v>
      </c>
      <c r="CE32" s="53">
        <f t="shared" si="63"/>
        <v>1.3312032000000003</v>
      </c>
      <c r="CF32" s="53">
        <f t="shared" si="63"/>
        <v>1.3312032000000003</v>
      </c>
      <c r="CG32" s="53">
        <f t="shared" si="63"/>
        <v>0</v>
      </c>
      <c r="CH32" s="53">
        <f t="shared" si="63"/>
        <v>0.17363520000000002</v>
      </c>
      <c r="CI32" s="53">
        <f t="shared" si="63"/>
        <v>0.2315136</v>
      </c>
      <c r="CJ32" s="53">
        <f t="shared" si="63"/>
        <v>0.6366624000000001</v>
      </c>
      <c r="CK32" s="53">
        <f t="shared" si="63"/>
        <v>0.4630272</v>
      </c>
      <c r="CL32" s="53">
        <f t="shared" si="63"/>
        <v>0.9839328</v>
      </c>
      <c r="CM32" s="53">
        <f t="shared" si="63"/>
        <v>1.3890816000000001</v>
      </c>
      <c r="CN32" s="53">
        <f t="shared" si="63"/>
        <v>1.736352</v>
      </c>
      <c r="CO32" s="93">
        <f t="shared" si="6"/>
        <v>11.749315200000002</v>
      </c>
      <c r="CP32" s="53">
        <f aca="true" t="shared" si="64" ref="CP32:DA33">CP40/100*0.5</f>
        <v>1.736352</v>
      </c>
      <c r="CQ32" s="53">
        <f t="shared" si="64"/>
        <v>1.736352</v>
      </c>
      <c r="CR32" s="53">
        <f t="shared" si="64"/>
        <v>1.3312032000000003</v>
      </c>
      <c r="CS32" s="53">
        <f t="shared" si="64"/>
        <v>1.3312032000000003</v>
      </c>
      <c r="CT32" s="53">
        <f t="shared" si="64"/>
        <v>0</v>
      </c>
      <c r="CU32" s="53">
        <f t="shared" si="64"/>
        <v>0.2315136</v>
      </c>
      <c r="CV32" s="53">
        <f t="shared" si="64"/>
        <v>0.17363520000000002</v>
      </c>
      <c r="CW32" s="53">
        <f t="shared" si="64"/>
        <v>0.6366624000000001</v>
      </c>
      <c r="CX32" s="53">
        <f t="shared" si="64"/>
        <v>0.4630272</v>
      </c>
      <c r="CY32" s="53">
        <f t="shared" si="64"/>
        <v>1.0418112</v>
      </c>
      <c r="CZ32" s="53">
        <f t="shared" si="64"/>
        <v>1.3312032000000003</v>
      </c>
      <c r="DA32" s="53">
        <f t="shared" si="64"/>
        <v>1.736352</v>
      </c>
      <c r="DB32" s="93">
        <f t="shared" si="7"/>
        <v>11.749315200000002</v>
      </c>
      <c r="DC32" s="53">
        <f aca="true" t="shared" si="65" ref="DC32:DN33">DC40/100*0.5</f>
        <v>1.736352</v>
      </c>
      <c r="DD32" s="53">
        <f t="shared" si="65"/>
        <v>1.736352</v>
      </c>
      <c r="DE32" s="53">
        <f t="shared" si="65"/>
        <v>1.3312032000000003</v>
      </c>
      <c r="DF32" s="53">
        <f t="shared" si="65"/>
        <v>1.3312032000000003</v>
      </c>
      <c r="DG32" s="53">
        <f t="shared" si="65"/>
        <v>0</v>
      </c>
      <c r="DH32" s="53">
        <f t="shared" si="65"/>
        <v>0.2315136</v>
      </c>
      <c r="DI32" s="53">
        <f t="shared" si="65"/>
        <v>0.17363520000000002</v>
      </c>
      <c r="DJ32" s="53">
        <f t="shared" si="65"/>
        <v>0.6366624000000001</v>
      </c>
      <c r="DK32" s="53">
        <f t="shared" si="65"/>
        <v>0.4630272</v>
      </c>
      <c r="DL32" s="53">
        <f t="shared" si="65"/>
        <v>1.0418112</v>
      </c>
      <c r="DM32" s="53">
        <f t="shared" si="65"/>
        <v>1.3890816000000001</v>
      </c>
      <c r="DN32" s="53">
        <f t="shared" si="65"/>
        <v>1.736352</v>
      </c>
      <c r="DO32" s="93">
        <f t="shared" si="8"/>
        <v>11.807193600000002</v>
      </c>
      <c r="DP32" s="53">
        <f aca="true" t="shared" si="66" ref="DP32:EA33">DP40/100*0.5</f>
        <v>1.736352</v>
      </c>
      <c r="DQ32" s="53">
        <f t="shared" si="66"/>
        <v>1.736352</v>
      </c>
      <c r="DR32" s="53">
        <f t="shared" si="66"/>
        <v>1.2733248000000001</v>
      </c>
      <c r="DS32" s="53">
        <f t="shared" si="66"/>
        <v>1.3312032000000003</v>
      </c>
      <c r="DT32" s="53">
        <f t="shared" si="66"/>
        <v>0</v>
      </c>
      <c r="DU32" s="53">
        <f t="shared" si="66"/>
        <v>0.2315136</v>
      </c>
      <c r="DV32" s="53">
        <f t="shared" si="66"/>
        <v>0.2315136</v>
      </c>
      <c r="DW32" s="53">
        <f t="shared" si="66"/>
        <v>0.578784</v>
      </c>
      <c r="DX32" s="53">
        <f t="shared" si="66"/>
        <v>0.4630272</v>
      </c>
      <c r="DY32" s="53">
        <f t="shared" si="66"/>
        <v>1.0418112</v>
      </c>
      <c r="DZ32" s="53">
        <f t="shared" si="66"/>
        <v>1.3890816000000001</v>
      </c>
      <c r="EA32" s="53">
        <f t="shared" si="66"/>
        <v>1.736352</v>
      </c>
      <c r="EB32" s="93">
        <f t="shared" si="10"/>
        <v>11.749315200000002</v>
      </c>
      <c r="EC32" s="53">
        <f aca="true" t="shared" si="67" ref="EC32:EN33">EC40/100*0.5</f>
        <v>1.736352</v>
      </c>
      <c r="ED32" s="53">
        <f t="shared" si="67"/>
        <v>1.736352</v>
      </c>
      <c r="EE32" s="53">
        <f t="shared" si="67"/>
        <v>1.2733248000000001</v>
      </c>
      <c r="EF32" s="53">
        <f t="shared" si="67"/>
        <v>1.3312032000000003</v>
      </c>
      <c r="EG32" s="53">
        <f t="shared" si="67"/>
        <v>0</v>
      </c>
      <c r="EH32" s="53">
        <f t="shared" si="67"/>
        <v>0.2315136</v>
      </c>
      <c r="EI32" s="53">
        <f t="shared" si="67"/>
        <v>0.2315136</v>
      </c>
      <c r="EJ32" s="53">
        <f t="shared" si="67"/>
        <v>0.6366624000000001</v>
      </c>
      <c r="EK32" s="53">
        <f t="shared" si="67"/>
        <v>0.40514880000000003</v>
      </c>
      <c r="EL32" s="53">
        <f t="shared" si="67"/>
        <v>1.0418112</v>
      </c>
      <c r="EM32" s="53">
        <f t="shared" si="67"/>
        <v>1.3890816000000001</v>
      </c>
      <c r="EN32" s="53">
        <f t="shared" si="67"/>
        <v>1.736352</v>
      </c>
      <c r="EO32" s="93">
        <f t="shared" si="12"/>
        <v>11.749315200000002</v>
      </c>
      <c r="EP32" s="53">
        <f aca="true" t="shared" si="68" ref="EP32:FA33">EP40/100*0.5</f>
        <v>1.736352</v>
      </c>
      <c r="EQ32" s="53">
        <f t="shared" si="68"/>
        <v>1.736352</v>
      </c>
      <c r="ER32" s="53">
        <f t="shared" si="68"/>
        <v>1.3312032000000003</v>
      </c>
      <c r="ES32" s="53">
        <f t="shared" si="68"/>
        <v>1.3312032000000003</v>
      </c>
      <c r="ET32" s="53">
        <f t="shared" si="68"/>
        <v>0</v>
      </c>
      <c r="EU32" s="53">
        <f t="shared" si="68"/>
        <v>0.17363520000000002</v>
      </c>
      <c r="EV32" s="53">
        <f t="shared" si="68"/>
        <v>0.2315136</v>
      </c>
      <c r="EW32" s="53">
        <f t="shared" si="68"/>
        <v>0.6366624000000001</v>
      </c>
      <c r="EX32" s="53">
        <f t="shared" si="68"/>
        <v>0.40514880000000003</v>
      </c>
      <c r="EY32" s="53">
        <f t="shared" si="68"/>
        <v>1.0418112</v>
      </c>
      <c r="EZ32" s="53">
        <f t="shared" si="68"/>
        <v>1.3890816000000001</v>
      </c>
      <c r="FA32" s="53">
        <f t="shared" si="68"/>
        <v>1.736352</v>
      </c>
      <c r="FB32" s="93">
        <f t="shared" si="13"/>
        <v>11.749315200000002</v>
      </c>
      <c r="FC32" s="53">
        <f aca="true" t="shared" si="69" ref="FC32:FN33">FC40/100*0.5</f>
        <v>1.736352</v>
      </c>
      <c r="FD32" s="53">
        <f t="shared" si="69"/>
        <v>1.736352</v>
      </c>
      <c r="FE32" s="53">
        <f t="shared" si="69"/>
        <v>1.3312032000000003</v>
      </c>
      <c r="FF32" s="53">
        <f t="shared" si="69"/>
        <v>1.3312032000000003</v>
      </c>
      <c r="FG32" s="53">
        <f t="shared" si="69"/>
        <v>0</v>
      </c>
      <c r="FH32" s="53">
        <f t="shared" si="69"/>
        <v>0.17363520000000002</v>
      </c>
      <c r="FI32" s="53">
        <f t="shared" si="69"/>
        <v>0.2315136</v>
      </c>
      <c r="FJ32" s="53">
        <f t="shared" si="69"/>
        <v>0.6366624000000001</v>
      </c>
      <c r="FK32" s="53">
        <f t="shared" si="69"/>
        <v>0.4630272</v>
      </c>
      <c r="FL32" s="53">
        <f t="shared" si="69"/>
        <v>0.9839328</v>
      </c>
      <c r="FM32" s="53">
        <f t="shared" si="69"/>
        <v>1.3890816000000001</v>
      </c>
      <c r="FN32" s="53">
        <f t="shared" si="69"/>
        <v>1.736352</v>
      </c>
      <c r="FO32" s="93">
        <f t="shared" si="14"/>
        <v>11.749315200000002</v>
      </c>
      <c r="FP32" s="53">
        <f aca="true" t="shared" si="70" ref="FP32:GA33">FP40/100*0.5</f>
        <v>1.736352</v>
      </c>
      <c r="FQ32" s="53">
        <f t="shared" si="70"/>
        <v>1.736352</v>
      </c>
      <c r="FR32" s="53">
        <f t="shared" si="70"/>
        <v>1.3312032000000003</v>
      </c>
      <c r="FS32" s="53">
        <f t="shared" si="70"/>
        <v>1.3312032000000003</v>
      </c>
      <c r="FT32" s="53">
        <f t="shared" si="70"/>
        <v>0</v>
      </c>
      <c r="FU32" s="53">
        <f t="shared" si="70"/>
        <v>0.2315136</v>
      </c>
      <c r="FV32" s="53">
        <f t="shared" si="70"/>
        <v>0.17363520000000002</v>
      </c>
      <c r="FW32" s="53">
        <f t="shared" si="70"/>
        <v>0.6366624000000001</v>
      </c>
      <c r="FX32" s="53">
        <f t="shared" si="70"/>
        <v>0.4630272</v>
      </c>
      <c r="FY32" s="53">
        <f t="shared" si="70"/>
        <v>1.0418112</v>
      </c>
      <c r="FZ32" s="53">
        <f t="shared" si="70"/>
        <v>1.3312032000000003</v>
      </c>
      <c r="GA32" s="53">
        <f t="shared" si="70"/>
        <v>1.736352</v>
      </c>
      <c r="GB32" s="93">
        <f t="shared" si="15"/>
        <v>11.749315200000002</v>
      </c>
      <c r="GC32" s="53">
        <f aca="true" t="shared" si="71" ref="GC32:GN32">GC40/100*0.5</f>
        <v>1.736352</v>
      </c>
      <c r="GD32" s="53">
        <f t="shared" si="71"/>
        <v>1.736352</v>
      </c>
      <c r="GE32" s="53">
        <f t="shared" si="71"/>
        <v>1.3312032000000003</v>
      </c>
      <c r="GF32" s="53">
        <f t="shared" si="71"/>
        <v>1.3312032000000003</v>
      </c>
      <c r="GG32" s="53">
        <f t="shared" si="71"/>
        <v>0</v>
      </c>
      <c r="GH32" s="53">
        <f t="shared" si="71"/>
        <v>0.2315136</v>
      </c>
      <c r="GI32" s="53">
        <f t="shared" si="71"/>
        <v>0.2315136</v>
      </c>
      <c r="GJ32" s="53">
        <f t="shared" si="71"/>
        <v>0.578784</v>
      </c>
      <c r="GK32" s="53">
        <f t="shared" si="71"/>
        <v>0.4630272</v>
      </c>
      <c r="GL32" s="53">
        <f t="shared" si="71"/>
        <v>1.0418112</v>
      </c>
      <c r="GM32" s="53">
        <f t="shared" si="71"/>
        <v>1.3890816000000001</v>
      </c>
      <c r="GN32" s="53">
        <f t="shared" si="71"/>
        <v>1.736352</v>
      </c>
      <c r="GO32" s="93">
        <f t="shared" si="16"/>
        <v>11.807193600000002</v>
      </c>
      <c r="GP32" s="53">
        <f aca="true" t="shared" si="72" ref="GP32:HA32">GP40/100*0.5</f>
        <v>1.736352</v>
      </c>
      <c r="GQ32" s="53">
        <f t="shared" si="72"/>
        <v>1.736352</v>
      </c>
      <c r="GR32" s="53">
        <f t="shared" si="72"/>
        <v>1.2733248000000001</v>
      </c>
      <c r="GS32" s="53">
        <f t="shared" si="72"/>
        <v>1.3312032000000003</v>
      </c>
      <c r="GT32" s="53">
        <f t="shared" si="72"/>
        <v>0</v>
      </c>
      <c r="GU32" s="53">
        <f t="shared" si="72"/>
        <v>0.2315136</v>
      </c>
      <c r="GV32" s="53">
        <f t="shared" si="72"/>
        <v>0.2315136</v>
      </c>
      <c r="GW32" s="53">
        <f t="shared" si="72"/>
        <v>0.578784</v>
      </c>
      <c r="GX32" s="53">
        <f t="shared" si="72"/>
        <v>0.4630272</v>
      </c>
      <c r="GY32" s="53">
        <f t="shared" si="72"/>
        <v>1.0418112</v>
      </c>
      <c r="GZ32" s="53">
        <f t="shared" si="72"/>
        <v>1.3890816000000001</v>
      </c>
      <c r="HA32" s="53">
        <f t="shared" si="72"/>
        <v>1.736352</v>
      </c>
      <c r="HB32" s="93">
        <f t="shared" si="18"/>
        <v>11.749315200000002</v>
      </c>
      <c r="HC32" s="49">
        <f t="shared" si="19"/>
        <v>151.75716480000003</v>
      </c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9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9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93"/>
      <c r="IP32" s="53"/>
      <c r="IQ32" s="53"/>
      <c r="IR32" s="53"/>
      <c r="IS32" s="53"/>
      <c r="IT32" s="53"/>
      <c r="IU32" s="53"/>
      <c r="IV32" s="53"/>
    </row>
    <row r="33" spans="1:256" s="56" customFormat="1" ht="14.25" outlineLevel="2">
      <c r="A33" s="30"/>
      <c r="B33" s="99" t="s">
        <v>396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95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95"/>
      <c r="AC33" s="53"/>
      <c r="AD33" s="53"/>
      <c r="AE33" s="53"/>
      <c r="AF33" s="53"/>
      <c r="AG33" s="53"/>
      <c r="AH33" s="53"/>
      <c r="AI33" s="53"/>
      <c r="AJ33" s="53"/>
      <c r="AK33" s="53">
        <f>AK41/100*0.5</f>
        <v>0.14581</v>
      </c>
      <c r="AL33" s="53">
        <f t="shared" si="59"/>
        <v>0.16664</v>
      </c>
      <c r="AM33" s="53">
        <f t="shared" si="59"/>
        <v>0.20829999999999999</v>
      </c>
      <c r="AN33" s="53">
        <f t="shared" si="59"/>
        <v>0.31245</v>
      </c>
      <c r="AO33" s="93">
        <f t="shared" si="0"/>
        <v>0.8332</v>
      </c>
      <c r="AP33" s="53">
        <f t="shared" si="60"/>
        <v>0.41659999999999997</v>
      </c>
      <c r="AQ33" s="53">
        <f t="shared" si="60"/>
        <v>0.29162</v>
      </c>
      <c r="AR33" s="53">
        <f t="shared" si="60"/>
        <v>0.16664</v>
      </c>
      <c r="AS33" s="53">
        <f t="shared" si="60"/>
        <v>0.22913</v>
      </c>
      <c r="AT33" s="53">
        <f t="shared" si="60"/>
        <v>0</v>
      </c>
      <c r="AU33" s="53">
        <f t="shared" si="60"/>
        <v>0.02083</v>
      </c>
      <c r="AV33" s="53">
        <f t="shared" si="60"/>
        <v>0.04166</v>
      </c>
      <c r="AW33" s="53">
        <f t="shared" si="60"/>
        <v>0.08332</v>
      </c>
      <c r="AX33" s="53">
        <f t="shared" si="60"/>
        <v>0.24996</v>
      </c>
      <c r="AY33" s="53">
        <f t="shared" si="60"/>
        <v>0.37494</v>
      </c>
      <c r="AZ33" s="53">
        <f t="shared" si="60"/>
        <v>0.49992</v>
      </c>
      <c r="BA33" s="53">
        <f t="shared" si="60"/>
        <v>0.6249</v>
      </c>
      <c r="BB33" s="93">
        <f t="shared" si="2"/>
        <v>2.99952</v>
      </c>
      <c r="BC33" s="53">
        <f t="shared" si="61"/>
        <v>0.6249</v>
      </c>
      <c r="BD33" s="53">
        <f t="shared" si="61"/>
        <v>0.6249</v>
      </c>
      <c r="BE33" s="53">
        <f t="shared" si="61"/>
        <v>0.45826</v>
      </c>
      <c r="BF33" s="53">
        <f t="shared" si="61"/>
        <v>0.47909</v>
      </c>
      <c r="BG33" s="53">
        <f t="shared" si="61"/>
        <v>0</v>
      </c>
      <c r="BH33" s="53">
        <f t="shared" si="61"/>
        <v>0.08332</v>
      </c>
      <c r="BI33" s="53">
        <f t="shared" si="61"/>
        <v>0.08332</v>
      </c>
      <c r="BJ33" s="53">
        <f t="shared" si="61"/>
        <v>0.20829999999999999</v>
      </c>
      <c r="BK33" s="53">
        <f t="shared" si="61"/>
        <v>0.16664</v>
      </c>
      <c r="BL33" s="53">
        <f t="shared" si="61"/>
        <v>0.37494</v>
      </c>
      <c r="BM33" s="53">
        <f t="shared" si="61"/>
        <v>0.49992</v>
      </c>
      <c r="BN33" s="53">
        <f t="shared" si="61"/>
        <v>0.6249</v>
      </c>
      <c r="BO33" s="93">
        <f t="shared" si="4"/>
        <v>4.228490000000001</v>
      </c>
      <c r="BP33" s="53">
        <f t="shared" si="62"/>
        <v>0.6249</v>
      </c>
      <c r="BQ33" s="53">
        <f t="shared" si="62"/>
        <v>0.6249</v>
      </c>
      <c r="BR33" s="53">
        <f t="shared" si="62"/>
        <v>0.47909</v>
      </c>
      <c r="BS33" s="53">
        <f t="shared" si="62"/>
        <v>0.47909</v>
      </c>
      <c r="BT33" s="53">
        <f t="shared" si="62"/>
        <v>0</v>
      </c>
      <c r="BU33" s="53">
        <f t="shared" si="62"/>
        <v>0.06249</v>
      </c>
      <c r="BV33" s="53">
        <f t="shared" si="62"/>
        <v>0.08332</v>
      </c>
      <c r="BW33" s="53">
        <f t="shared" si="62"/>
        <v>0.22913</v>
      </c>
      <c r="BX33" s="53">
        <f t="shared" si="62"/>
        <v>0.14581</v>
      </c>
      <c r="BY33" s="53">
        <f t="shared" si="62"/>
        <v>0.37494</v>
      </c>
      <c r="BZ33" s="53">
        <f t="shared" si="62"/>
        <v>0.49992</v>
      </c>
      <c r="CA33" s="53">
        <f t="shared" si="62"/>
        <v>0.6249</v>
      </c>
      <c r="CB33" s="93">
        <f t="shared" si="5"/>
        <v>4.228490000000001</v>
      </c>
      <c r="CC33" s="53">
        <f t="shared" si="63"/>
        <v>0.6249</v>
      </c>
      <c r="CD33" s="53">
        <f t="shared" si="63"/>
        <v>0.6249</v>
      </c>
      <c r="CE33" s="53">
        <f t="shared" si="63"/>
        <v>0.47909</v>
      </c>
      <c r="CF33" s="53">
        <f t="shared" si="63"/>
        <v>0.47909</v>
      </c>
      <c r="CG33" s="53">
        <f t="shared" si="63"/>
        <v>0</v>
      </c>
      <c r="CH33" s="53">
        <f t="shared" si="63"/>
        <v>0.06249</v>
      </c>
      <c r="CI33" s="53">
        <f t="shared" si="63"/>
        <v>0.08332</v>
      </c>
      <c r="CJ33" s="53">
        <f t="shared" si="63"/>
        <v>0.22913</v>
      </c>
      <c r="CK33" s="53">
        <f t="shared" si="63"/>
        <v>0.16664</v>
      </c>
      <c r="CL33" s="53">
        <f t="shared" si="63"/>
        <v>0.35411000000000004</v>
      </c>
      <c r="CM33" s="53">
        <f t="shared" si="63"/>
        <v>0.49992</v>
      </c>
      <c r="CN33" s="53">
        <f t="shared" si="63"/>
        <v>0.6249</v>
      </c>
      <c r="CO33" s="93">
        <f t="shared" si="6"/>
        <v>4.228490000000001</v>
      </c>
      <c r="CP33" s="53">
        <f t="shared" si="64"/>
        <v>0.6249</v>
      </c>
      <c r="CQ33" s="53">
        <f t="shared" si="64"/>
        <v>0.6249</v>
      </c>
      <c r="CR33" s="53">
        <f t="shared" si="64"/>
        <v>0.47909</v>
      </c>
      <c r="CS33" s="53">
        <f t="shared" si="64"/>
        <v>0.47909</v>
      </c>
      <c r="CT33" s="53">
        <f t="shared" si="64"/>
        <v>0</v>
      </c>
      <c r="CU33" s="53">
        <f t="shared" si="64"/>
        <v>0.08332</v>
      </c>
      <c r="CV33" s="53">
        <f t="shared" si="64"/>
        <v>0.06249</v>
      </c>
      <c r="CW33" s="53">
        <f t="shared" si="64"/>
        <v>0.22913</v>
      </c>
      <c r="CX33" s="53">
        <f t="shared" si="64"/>
        <v>0.16664</v>
      </c>
      <c r="CY33" s="53">
        <f t="shared" si="64"/>
        <v>0.37494</v>
      </c>
      <c r="CZ33" s="53">
        <f t="shared" si="64"/>
        <v>0.47909</v>
      </c>
      <c r="DA33" s="53">
        <f t="shared" si="64"/>
        <v>0.6249</v>
      </c>
      <c r="DB33" s="93">
        <f t="shared" si="7"/>
        <v>4.228490000000001</v>
      </c>
      <c r="DC33" s="53">
        <f t="shared" si="65"/>
        <v>0.6249</v>
      </c>
      <c r="DD33" s="53">
        <f t="shared" si="65"/>
        <v>0.6249</v>
      </c>
      <c r="DE33" s="53">
        <f t="shared" si="65"/>
        <v>0.47909</v>
      </c>
      <c r="DF33" s="53">
        <f t="shared" si="65"/>
        <v>0.47909</v>
      </c>
      <c r="DG33" s="53">
        <f t="shared" si="65"/>
        <v>0</v>
      </c>
      <c r="DH33" s="53">
        <f t="shared" si="65"/>
        <v>0.08332</v>
      </c>
      <c r="DI33" s="53">
        <f t="shared" si="65"/>
        <v>0.06249</v>
      </c>
      <c r="DJ33" s="53">
        <f t="shared" si="65"/>
        <v>0.22913</v>
      </c>
      <c r="DK33" s="53">
        <f t="shared" si="65"/>
        <v>0.16664</v>
      </c>
      <c r="DL33" s="53">
        <f t="shared" si="65"/>
        <v>0.37494</v>
      </c>
      <c r="DM33" s="53">
        <f t="shared" si="65"/>
        <v>0.49992</v>
      </c>
      <c r="DN33" s="53">
        <f t="shared" si="65"/>
        <v>0.6249</v>
      </c>
      <c r="DO33" s="93">
        <f t="shared" si="8"/>
        <v>4.249320000000001</v>
      </c>
      <c r="DP33" s="53">
        <f t="shared" si="66"/>
        <v>0.6249</v>
      </c>
      <c r="DQ33" s="53">
        <f t="shared" si="66"/>
        <v>0.6249</v>
      </c>
      <c r="DR33" s="53">
        <f t="shared" si="66"/>
        <v>0.45826</v>
      </c>
      <c r="DS33" s="53">
        <f t="shared" si="66"/>
        <v>0.47909</v>
      </c>
      <c r="DT33" s="53">
        <f t="shared" si="66"/>
        <v>0</v>
      </c>
      <c r="DU33" s="53">
        <f t="shared" si="66"/>
        <v>0.08332</v>
      </c>
      <c r="DV33" s="53">
        <f t="shared" si="66"/>
        <v>0.08332</v>
      </c>
      <c r="DW33" s="53">
        <f t="shared" si="66"/>
        <v>0.20829999999999999</v>
      </c>
      <c r="DX33" s="53">
        <f t="shared" si="66"/>
        <v>0.16664</v>
      </c>
      <c r="DY33" s="53">
        <f t="shared" si="66"/>
        <v>0.37494</v>
      </c>
      <c r="DZ33" s="53">
        <f t="shared" si="66"/>
        <v>0.49992</v>
      </c>
      <c r="EA33" s="53">
        <f t="shared" si="66"/>
        <v>0.6249</v>
      </c>
      <c r="EB33" s="93">
        <f t="shared" si="10"/>
        <v>4.228490000000001</v>
      </c>
      <c r="EC33" s="53">
        <f t="shared" si="67"/>
        <v>0.6249</v>
      </c>
      <c r="ED33" s="53">
        <f t="shared" si="67"/>
        <v>0.6249</v>
      </c>
      <c r="EE33" s="53">
        <f t="shared" si="67"/>
        <v>0.45826</v>
      </c>
      <c r="EF33" s="53">
        <f t="shared" si="67"/>
        <v>0.47909</v>
      </c>
      <c r="EG33" s="53">
        <f t="shared" si="67"/>
        <v>0</v>
      </c>
      <c r="EH33" s="53">
        <f t="shared" si="67"/>
        <v>0.08332</v>
      </c>
      <c r="EI33" s="53">
        <f t="shared" si="67"/>
        <v>0.08332</v>
      </c>
      <c r="EJ33" s="53">
        <f t="shared" si="67"/>
        <v>0.22913</v>
      </c>
      <c r="EK33" s="53">
        <f t="shared" si="67"/>
        <v>0.14581</v>
      </c>
      <c r="EL33" s="53">
        <f t="shared" si="67"/>
        <v>0.37494</v>
      </c>
      <c r="EM33" s="53">
        <f t="shared" si="67"/>
        <v>0.49992</v>
      </c>
      <c r="EN33" s="53">
        <f t="shared" si="67"/>
        <v>0.6249</v>
      </c>
      <c r="EO33" s="93">
        <f t="shared" si="12"/>
        <v>4.228490000000001</v>
      </c>
      <c r="EP33" s="53">
        <f t="shared" si="68"/>
        <v>0.6249</v>
      </c>
      <c r="EQ33" s="53">
        <f t="shared" si="68"/>
        <v>0.6249</v>
      </c>
      <c r="ER33" s="53">
        <f t="shared" si="68"/>
        <v>0.47909</v>
      </c>
      <c r="ES33" s="53">
        <f t="shared" si="68"/>
        <v>0.47909</v>
      </c>
      <c r="ET33" s="53">
        <f t="shared" si="68"/>
        <v>0</v>
      </c>
      <c r="EU33" s="53">
        <f t="shared" si="68"/>
        <v>0.06249</v>
      </c>
      <c r="EV33" s="53">
        <f t="shared" si="68"/>
        <v>0.08332</v>
      </c>
      <c r="EW33" s="53">
        <f t="shared" si="68"/>
        <v>0.22913</v>
      </c>
      <c r="EX33" s="53">
        <f t="shared" si="68"/>
        <v>0.40514880000000003</v>
      </c>
      <c r="EY33" s="53">
        <f t="shared" si="68"/>
        <v>1.0418112</v>
      </c>
      <c r="EZ33" s="53">
        <f t="shared" si="68"/>
        <v>1.3890816000000001</v>
      </c>
      <c r="FA33" s="53">
        <f t="shared" si="68"/>
        <v>1.736352</v>
      </c>
      <c r="FB33" s="93">
        <f t="shared" si="13"/>
        <v>7.1553136</v>
      </c>
      <c r="FC33" s="53">
        <f t="shared" si="69"/>
        <v>0.6249</v>
      </c>
      <c r="FD33" s="53">
        <f t="shared" si="69"/>
        <v>0.6249</v>
      </c>
      <c r="FE33" s="53">
        <f t="shared" si="69"/>
        <v>0.47909</v>
      </c>
      <c r="FF33" s="53">
        <f t="shared" si="69"/>
        <v>0.47909</v>
      </c>
      <c r="FG33" s="53">
        <f t="shared" si="69"/>
        <v>0</v>
      </c>
      <c r="FH33" s="53">
        <f t="shared" si="69"/>
        <v>0.06249</v>
      </c>
      <c r="FI33" s="53">
        <f t="shared" si="69"/>
        <v>0.08332</v>
      </c>
      <c r="FJ33" s="53">
        <f t="shared" si="69"/>
        <v>0.22913</v>
      </c>
      <c r="FK33" s="53">
        <f t="shared" si="69"/>
        <v>0.16664</v>
      </c>
      <c r="FL33" s="53">
        <f t="shared" si="69"/>
        <v>0.35411000000000004</v>
      </c>
      <c r="FM33" s="53">
        <f t="shared" si="69"/>
        <v>0.49992</v>
      </c>
      <c r="FN33" s="53">
        <f t="shared" si="69"/>
        <v>0.6249</v>
      </c>
      <c r="FO33" s="93">
        <f t="shared" si="14"/>
        <v>4.228490000000001</v>
      </c>
      <c r="FP33" s="53">
        <f t="shared" si="70"/>
        <v>0.6249</v>
      </c>
      <c r="FQ33" s="53">
        <f t="shared" si="70"/>
        <v>0.6249</v>
      </c>
      <c r="FR33" s="53">
        <f t="shared" si="70"/>
        <v>0.47909</v>
      </c>
      <c r="FS33" s="53">
        <f t="shared" si="70"/>
        <v>0.47909</v>
      </c>
      <c r="FT33" s="53">
        <f t="shared" si="70"/>
        <v>0</v>
      </c>
      <c r="FU33" s="53">
        <f t="shared" si="70"/>
        <v>0.08332</v>
      </c>
      <c r="FV33" s="53">
        <f t="shared" si="70"/>
        <v>0.06249</v>
      </c>
      <c r="FW33" s="53">
        <f t="shared" si="70"/>
        <v>0.22913</v>
      </c>
      <c r="FX33" s="53">
        <f t="shared" si="70"/>
        <v>0.16664</v>
      </c>
      <c r="FY33" s="53">
        <f t="shared" si="70"/>
        <v>0.37494</v>
      </c>
      <c r="FZ33" s="53">
        <f t="shared" si="70"/>
        <v>0.47909</v>
      </c>
      <c r="GA33" s="53">
        <f t="shared" si="70"/>
        <v>0.6249</v>
      </c>
      <c r="GB33" s="93">
        <f t="shared" si="15"/>
        <v>4.228490000000001</v>
      </c>
      <c r="GC33" s="53">
        <f aca="true" t="shared" si="73" ref="GC33:GN33">GC41/100*0.5</f>
        <v>0.6249</v>
      </c>
      <c r="GD33" s="53">
        <f t="shared" si="73"/>
        <v>0.6249</v>
      </c>
      <c r="GE33" s="53">
        <f t="shared" si="73"/>
        <v>0.47909</v>
      </c>
      <c r="GF33" s="53">
        <f t="shared" si="73"/>
        <v>0.47909</v>
      </c>
      <c r="GG33" s="53">
        <f t="shared" si="73"/>
        <v>0</v>
      </c>
      <c r="GH33" s="53">
        <f t="shared" si="73"/>
        <v>0.08332</v>
      </c>
      <c r="GI33" s="53">
        <f t="shared" si="73"/>
        <v>0.08332</v>
      </c>
      <c r="GJ33" s="53">
        <f t="shared" si="73"/>
        <v>0.20829999999999999</v>
      </c>
      <c r="GK33" s="53">
        <f t="shared" si="73"/>
        <v>0.16664</v>
      </c>
      <c r="GL33" s="53">
        <f t="shared" si="73"/>
        <v>0.37494</v>
      </c>
      <c r="GM33" s="53">
        <f t="shared" si="73"/>
        <v>0.49992</v>
      </c>
      <c r="GN33" s="53">
        <f t="shared" si="73"/>
        <v>0.6249</v>
      </c>
      <c r="GO33" s="93">
        <f t="shared" si="16"/>
        <v>4.249320000000001</v>
      </c>
      <c r="GP33" s="53">
        <f aca="true" t="shared" si="74" ref="GP33:HA33">GP41/100*0.5</f>
        <v>0.6249</v>
      </c>
      <c r="GQ33" s="53">
        <f t="shared" si="74"/>
        <v>0.6249</v>
      </c>
      <c r="GR33" s="53">
        <f t="shared" si="74"/>
        <v>0.45826</v>
      </c>
      <c r="GS33" s="53">
        <f t="shared" si="74"/>
        <v>0.47909</v>
      </c>
      <c r="GT33" s="53">
        <f t="shared" si="74"/>
        <v>0</v>
      </c>
      <c r="GU33" s="53">
        <f t="shared" si="74"/>
        <v>0.08332</v>
      </c>
      <c r="GV33" s="53">
        <f t="shared" si="74"/>
        <v>0.08332</v>
      </c>
      <c r="GW33" s="53">
        <f t="shared" si="74"/>
        <v>0.20829999999999999</v>
      </c>
      <c r="GX33" s="53">
        <f t="shared" si="74"/>
        <v>0.16664</v>
      </c>
      <c r="GY33" s="53">
        <f t="shared" si="74"/>
        <v>0.37494</v>
      </c>
      <c r="GZ33" s="53">
        <f t="shared" si="74"/>
        <v>0.49992</v>
      </c>
      <c r="HA33" s="53">
        <f t="shared" si="74"/>
        <v>0.6249</v>
      </c>
      <c r="HB33" s="93">
        <f t="shared" si="18"/>
        <v>4.228490000000001</v>
      </c>
      <c r="HC33" s="49">
        <f t="shared" si="19"/>
        <v>57.5430836</v>
      </c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95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95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95"/>
      <c r="IP33" s="53"/>
      <c r="IQ33" s="53"/>
      <c r="IR33" s="53"/>
      <c r="IS33" s="53"/>
      <c r="IT33" s="53"/>
      <c r="IU33" s="53"/>
      <c r="IV33" s="53"/>
    </row>
    <row r="34" spans="1:256" s="32" customFormat="1" ht="14.25" outlineLevel="3">
      <c r="A34" s="48"/>
      <c r="B34" s="97" t="s">
        <v>397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93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93"/>
      <c r="AC34" s="54"/>
      <c r="AD34" s="54"/>
      <c r="AE34" s="54"/>
      <c r="AF34" s="54"/>
      <c r="AG34" s="54"/>
      <c r="AH34" s="54"/>
      <c r="AI34" s="54"/>
      <c r="AJ34" s="54"/>
      <c r="AK34" s="54">
        <f>AK35+AK36+AK37+AK38+AK39+AK40+AK41</f>
        <v>3757.8032404999994</v>
      </c>
      <c r="AL34" s="54">
        <f>AL35+AL36+AL37+AL38+AL39+AL40+AL41</f>
        <v>4528.121292000001</v>
      </c>
      <c r="AM34" s="54">
        <f>AM35+AM36+AM37+AM38+AM39+AM40+AM41</f>
        <v>6881.606294999999</v>
      </c>
      <c r="AN34" s="54">
        <f>AN35+AN36+AN37+AN38+AN39+AN40+AN41</f>
        <v>9744.0315025</v>
      </c>
      <c r="AO34" s="93">
        <f t="shared" si="0"/>
        <v>24911.56233</v>
      </c>
      <c r="AP34" s="54">
        <f aca="true" t="shared" si="75" ref="AP34:BZ34">AP35+AP36+AP37+AP38+AP39+AP40+AP41</f>
        <v>8676.03971</v>
      </c>
      <c r="AQ34" s="54">
        <f t="shared" si="75"/>
        <v>7147.310561</v>
      </c>
      <c r="AR34" s="54">
        <f t="shared" si="75"/>
        <v>4952.388812</v>
      </c>
      <c r="AS34" s="54">
        <f t="shared" si="75"/>
        <v>6643.8186365</v>
      </c>
      <c r="AT34" s="54">
        <f t="shared" si="75"/>
        <v>312.65488</v>
      </c>
      <c r="AU34" s="54">
        <f t="shared" si="75"/>
        <v>866.6462315000001</v>
      </c>
      <c r="AV34" s="54">
        <f t="shared" si="75"/>
        <v>1347.1975830000001</v>
      </c>
      <c r="AW34" s="54">
        <f>AW35+AW36+AW37+AW38+AW39+AW40+AW41</f>
        <v>2089.3572860000004</v>
      </c>
      <c r="AX34" s="54">
        <f t="shared" si="75"/>
        <v>6374.950938</v>
      </c>
      <c r="AY34" s="54">
        <f t="shared" si="75"/>
        <v>9953.781746999999</v>
      </c>
      <c r="AZ34" s="54">
        <f t="shared" si="75"/>
        <v>16234.465715999999</v>
      </c>
      <c r="BA34" s="54">
        <f t="shared" si="75"/>
        <v>19331.735565000003</v>
      </c>
      <c r="BB34" s="93">
        <f t="shared" si="2"/>
        <v>83930.34766600002</v>
      </c>
      <c r="BC34" s="54">
        <f t="shared" si="75"/>
        <v>13014.059564999998</v>
      </c>
      <c r="BD34" s="54">
        <f t="shared" si="75"/>
        <v>15114.673064999999</v>
      </c>
      <c r="BE34" s="54">
        <f t="shared" si="75"/>
        <v>13228.250633</v>
      </c>
      <c r="BF34" s="54">
        <f t="shared" si="75"/>
        <v>13706.8701745</v>
      </c>
      <c r="BG34" s="54">
        <f t="shared" si="75"/>
        <v>468.98232</v>
      </c>
      <c r="BH34" s="54">
        <f t="shared" si="75"/>
        <v>2684.9477260000003</v>
      </c>
      <c r="BI34" s="54">
        <f t="shared" si="75"/>
        <v>2538.067726</v>
      </c>
      <c r="BJ34" s="54">
        <f t="shared" si="75"/>
        <v>4910.738335</v>
      </c>
      <c r="BK34" s="54">
        <f t="shared" si="75"/>
        <v>4406.294732000001</v>
      </c>
      <c r="BL34" s="54">
        <f t="shared" si="75"/>
        <v>9953.781746999999</v>
      </c>
      <c r="BM34" s="54">
        <f t="shared" si="75"/>
        <v>16234.465715999999</v>
      </c>
      <c r="BN34" s="54">
        <f t="shared" si="75"/>
        <v>19331.735565000003</v>
      </c>
      <c r="BO34" s="93">
        <f t="shared" si="4"/>
        <v>115592.86730450002</v>
      </c>
      <c r="BP34" s="54">
        <f t="shared" si="75"/>
        <v>13014.059564999998</v>
      </c>
      <c r="BQ34" s="54">
        <f t="shared" si="75"/>
        <v>15114.673064999999</v>
      </c>
      <c r="BR34" s="54">
        <f t="shared" si="75"/>
        <v>13808.2173745</v>
      </c>
      <c r="BS34" s="54">
        <f t="shared" si="75"/>
        <v>13706.8701745</v>
      </c>
      <c r="BT34" s="54">
        <f t="shared" si="75"/>
        <v>468.98232</v>
      </c>
      <c r="BU34" s="54">
        <f t="shared" si="75"/>
        <v>2130.9563745000005</v>
      </c>
      <c r="BV34" s="54">
        <f t="shared" si="75"/>
        <v>2538.067726</v>
      </c>
      <c r="BW34" s="54">
        <f t="shared" si="75"/>
        <v>5354.9139365</v>
      </c>
      <c r="BX34" s="54">
        <f t="shared" si="75"/>
        <v>3914.1306804999995</v>
      </c>
      <c r="BY34" s="54">
        <f t="shared" si="75"/>
        <v>9953.781746999999</v>
      </c>
      <c r="BZ34" s="54">
        <f t="shared" si="75"/>
        <v>16234.465715999999</v>
      </c>
      <c r="CA34" s="54">
        <f>CA35+CA36+CA37+CA38+CA39+CA40+CA41</f>
        <v>19331.735565000003</v>
      </c>
      <c r="CB34" s="93">
        <f>CA34+BZ34+BY34+BX34+BW34+BV34+BU34+BT34+BS34+BR34+BQ34+BP34</f>
        <v>115570.8542445</v>
      </c>
      <c r="CC34" s="54">
        <f aca="true" t="shared" si="76" ref="CC34:FN34">CC35+CC36+CC37+CC38+CC39+CC40+CC41</f>
        <v>13014.059564999998</v>
      </c>
      <c r="CD34" s="54">
        <f t="shared" si="76"/>
        <v>15114.673064999999</v>
      </c>
      <c r="CE34" s="54">
        <f t="shared" si="76"/>
        <v>13808.2173745</v>
      </c>
      <c r="CF34" s="54">
        <f t="shared" si="76"/>
        <v>13706.8701745</v>
      </c>
      <c r="CG34" s="54">
        <f t="shared" si="76"/>
        <v>468.98232</v>
      </c>
      <c r="CH34" s="54">
        <f t="shared" si="76"/>
        <v>2130.9563745000005</v>
      </c>
      <c r="CI34" s="54">
        <f t="shared" si="76"/>
        <v>2538.067726</v>
      </c>
      <c r="CJ34" s="54">
        <f t="shared" si="76"/>
        <v>5354.9139365</v>
      </c>
      <c r="CK34" s="54">
        <f t="shared" si="76"/>
        <v>4406.294732000001</v>
      </c>
      <c r="CL34" s="54">
        <f t="shared" si="76"/>
        <v>9426.8484455</v>
      </c>
      <c r="CM34" s="54">
        <f t="shared" si="76"/>
        <v>16234.465715999999</v>
      </c>
      <c r="CN34" s="54">
        <f t="shared" si="76"/>
        <v>19331.735565000003</v>
      </c>
      <c r="CO34" s="93">
        <f>CN34+CM34+CL34+CK34+CJ34+CI34+CH34+CG34+CF34+CE34+CD34+CC34</f>
        <v>115536.08499450001</v>
      </c>
      <c r="CP34" s="54">
        <f t="shared" si="76"/>
        <v>13014.059564999998</v>
      </c>
      <c r="CQ34" s="54">
        <f t="shared" si="76"/>
        <v>15114.673064999999</v>
      </c>
      <c r="CR34" s="54">
        <f t="shared" si="76"/>
        <v>13808.2173745</v>
      </c>
      <c r="CS34" s="54">
        <f t="shared" si="76"/>
        <v>13706.8701745</v>
      </c>
      <c r="CT34" s="54">
        <f t="shared" si="76"/>
        <v>468.98232</v>
      </c>
      <c r="CU34" s="54">
        <f t="shared" si="76"/>
        <v>2684.9477260000003</v>
      </c>
      <c r="CV34" s="54">
        <f t="shared" si="76"/>
        <v>2020.7963745</v>
      </c>
      <c r="CW34" s="54">
        <f t="shared" si="76"/>
        <v>5354.9139365</v>
      </c>
      <c r="CX34" s="54">
        <f t="shared" si="76"/>
        <v>4406.294732000001</v>
      </c>
      <c r="CY34" s="54">
        <f t="shared" si="76"/>
        <v>9953.781746999999</v>
      </c>
      <c r="CZ34" s="54">
        <f t="shared" si="76"/>
        <v>15577.5705745</v>
      </c>
      <c r="DA34" s="54">
        <f t="shared" si="76"/>
        <v>19331.735565000003</v>
      </c>
      <c r="DB34" s="93">
        <f>DA34+CZ34+CY34+CX34+CW34+CV34+CU34+CT34+CS34+CR34+CQ34+CP34</f>
        <v>115442.84315450002</v>
      </c>
      <c r="DC34" s="54">
        <f t="shared" si="76"/>
        <v>13014.059564999998</v>
      </c>
      <c r="DD34" s="54">
        <f t="shared" si="76"/>
        <v>15114.673064999999</v>
      </c>
      <c r="DE34" s="54">
        <f t="shared" si="76"/>
        <v>13808.2173745</v>
      </c>
      <c r="DF34" s="54">
        <f t="shared" si="76"/>
        <v>13706.8701745</v>
      </c>
      <c r="DG34" s="54">
        <f t="shared" si="76"/>
        <v>468.98232</v>
      </c>
      <c r="DH34" s="54">
        <f t="shared" si="76"/>
        <v>2684.9477260000003</v>
      </c>
      <c r="DI34" s="54">
        <f t="shared" si="76"/>
        <v>2020.7963745</v>
      </c>
      <c r="DJ34" s="54">
        <f t="shared" si="76"/>
        <v>5354.9139365</v>
      </c>
      <c r="DK34" s="54">
        <f t="shared" si="76"/>
        <v>4406.294732000001</v>
      </c>
      <c r="DL34" s="54">
        <f t="shared" si="76"/>
        <v>9953.781746999999</v>
      </c>
      <c r="DM34" s="54">
        <f t="shared" si="76"/>
        <v>16234.465715999999</v>
      </c>
      <c r="DN34" s="54">
        <f t="shared" si="76"/>
        <v>19331.735565000003</v>
      </c>
      <c r="DO34" s="93">
        <f>DN34+DM34+DL34+DK34+DJ34+DI34+DH34+DG34+DF34+DE34+DD34+DC34</f>
        <v>116099.73829600001</v>
      </c>
      <c r="DP34" s="54">
        <f t="shared" si="76"/>
        <v>13014.059564999998</v>
      </c>
      <c r="DQ34" s="54">
        <f t="shared" si="76"/>
        <v>15114.673064999999</v>
      </c>
      <c r="DR34" s="54">
        <f t="shared" si="76"/>
        <v>13228.250633</v>
      </c>
      <c r="DS34" s="54">
        <f t="shared" si="76"/>
        <v>13706.8701745</v>
      </c>
      <c r="DT34" s="54">
        <f t="shared" si="76"/>
        <v>468.98232</v>
      </c>
      <c r="DU34" s="54">
        <f t="shared" si="76"/>
        <v>2684.9477260000003</v>
      </c>
      <c r="DV34" s="54">
        <f t="shared" si="76"/>
        <v>2538.067726</v>
      </c>
      <c r="DW34" s="54">
        <f t="shared" si="76"/>
        <v>4910.738335</v>
      </c>
      <c r="DX34" s="54">
        <f t="shared" si="76"/>
        <v>4406.294732000001</v>
      </c>
      <c r="DY34" s="54">
        <f t="shared" si="76"/>
        <v>9953.781746999999</v>
      </c>
      <c r="DZ34" s="54">
        <f t="shared" si="76"/>
        <v>16234.465715999999</v>
      </c>
      <c r="EA34" s="54">
        <f t="shared" si="76"/>
        <v>19331.735565000003</v>
      </c>
      <c r="EB34" s="93">
        <f>EA34+DZ34+DY34+DX34+DW34+DV34+DU34+DT34+DS34+DR34+DQ34+DP34</f>
        <v>115592.86730450002</v>
      </c>
      <c r="EC34" s="54">
        <f t="shared" si="76"/>
        <v>13014.059564999998</v>
      </c>
      <c r="ED34" s="54">
        <f t="shared" si="76"/>
        <v>15114.673064999999</v>
      </c>
      <c r="EE34" s="54">
        <f t="shared" si="76"/>
        <v>13228.250633</v>
      </c>
      <c r="EF34" s="54">
        <f t="shared" si="76"/>
        <v>13706.8701745</v>
      </c>
      <c r="EG34" s="54">
        <f t="shared" si="76"/>
        <v>468.98232</v>
      </c>
      <c r="EH34" s="54">
        <f t="shared" si="76"/>
        <v>2684.9477260000003</v>
      </c>
      <c r="EI34" s="54">
        <f t="shared" si="76"/>
        <v>2538.067726</v>
      </c>
      <c r="EJ34" s="54">
        <f t="shared" si="76"/>
        <v>5354.9139365</v>
      </c>
      <c r="EK34" s="54">
        <f t="shared" si="76"/>
        <v>3914.1306804999995</v>
      </c>
      <c r="EL34" s="54">
        <f t="shared" si="76"/>
        <v>9953.781746999999</v>
      </c>
      <c r="EM34" s="54">
        <f t="shared" si="76"/>
        <v>16234.465715999999</v>
      </c>
      <c r="EN34" s="54">
        <f t="shared" si="76"/>
        <v>19331.735565000003</v>
      </c>
      <c r="EO34" s="93">
        <f>EN34+EM34+EL34+EK34+EJ34+EI34+EH34+EG34+EF34+EE34+ED34+EC34</f>
        <v>115544.87885450001</v>
      </c>
      <c r="EP34" s="54">
        <f t="shared" si="76"/>
        <v>13014.059564999998</v>
      </c>
      <c r="EQ34" s="54">
        <f t="shared" si="76"/>
        <v>15114.673064999999</v>
      </c>
      <c r="ER34" s="54">
        <f t="shared" si="76"/>
        <v>13808.2173745</v>
      </c>
      <c r="ES34" s="54">
        <f t="shared" si="76"/>
        <v>13706.8701745</v>
      </c>
      <c r="ET34" s="54">
        <f t="shared" si="76"/>
        <v>468.98232</v>
      </c>
      <c r="EU34" s="54">
        <f t="shared" si="76"/>
        <v>2130.9563745000005</v>
      </c>
      <c r="EV34" s="54">
        <f t="shared" si="76"/>
        <v>2538.067726</v>
      </c>
      <c r="EW34" s="54">
        <f t="shared" si="76"/>
        <v>5354.9139365</v>
      </c>
      <c r="EX34" s="54">
        <f t="shared" si="76"/>
        <v>3965.9984404999996</v>
      </c>
      <c r="EY34" s="54">
        <f t="shared" si="76"/>
        <v>10087.155987</v>
      </c>
      <c r="EZ34" s="54">
        <f t="shared" si="76"/>
        <v>16412.298036</v>
      </c>
      <c r="FA34" s="54">
        <f t="shared" si="76"/>
        <v>19554.025965000004</v>
      </c>
      <c r="FB34" s="93">
        <f>FA34+EZ34+EY34+EX34+EW34+EV34+EU34+ET34+ES34+ER34+EQ34+EP34</f>
        <v>116156.2189645</v>
      </c>
      <c r="FC34" s="54">
        <f t="shared" si="76"/>
        <v>13014.059564999998</v>
      </c>
      <c r="FD34" s="54">
        <f t="shared" si="76"/>
        <v>15114.673064999999</v>
      </c>
      <c r="FE34" s="54">
        <f t="shared" si="76"/>
        <v>13808.2173745</v>
      </c>
      <c r="FF34" s="54">
        <f t="shared" si="76"/>
        <v>13706.8701745</v>
      </c>
      <c r="FG34" s="54">
        <f t="shared" si="76"/>
        <v>468.98232</v>
      </c>
      <c r="FH34" s="54">
        <f t="shared" si="76"/>
        <v>2130.9563745000005</v>
      </c>
      <c r="FI34" s="54">
        <f t="shared" si="76"/>
        <v>2538.067726</v>
      </c>
      <c r="FJ34" s="54">
        <f t="shared" si="76"/>
        <v>5354.9139365</v>
      </c>
      <c r="FK34" s="54">
        <f t="shared" si="76"/>
        <v>4406.294732000001</v>
      </c>
      <c r="FL34" s="54">
        <f t="shared" si="76"/>
        <v>9426.8484455</v>
      </c>
      <c r="FM34" s="54">
        <f t="shared" si="76"/>
        <v>16234.465715999999</v>
      </c>
      <c r="FN34" s="54">
        <f t="shared" si="76"/>
        <v>19331.735565000003</v>
      </c>
      <c r="FO34" s="93">
        <f>FN34+FM34+FL34+FK34+FJ34+FI34+FH34+FG34+FF34+FE34+FD34+FC34</f>
        <v>115536.08499450001</v>
      </c>
      <c r="FP34" s="54">
        <f aca="true" t="shared" si="77" ref="FP34:GN34">FP35+FP36+FP37+FP38+FP39+FP40+FP41</f>
        <v>13014.059564999998</v>
      </c>
      <c r="FQ34" s="54">
        <f t="shared" si="77"/>
        <v>15114.673064999999</v>
      </c>
      <c r="FR34" s="54">
        <f t="shared" si="77"/>
        <v>13808.2173745</v>
      </c>
      <c r="FS34" s="54">
        <f t="shared" si="77"/>
        <v>13706.8701745</v>
      </c>
      <c r="FT34" s="54">
        <f t="shared" si="77"/>
        <v>468.98232</v>
      </c>
      <c r="FU34" s="54">
        <f t="shared" si="77"/>
        <v>2684.9477260000003</v>
      </c>
      <c r="FV34" s="54">
        <f t="shared" si="77"/>
        <v>2020.7963745</v>
      </c>
      <c r="FW34" s="54">
        <f t="shared" si="77"/>
        <v>5354.9139365</v>
      </c>
      <c r="FX34" s="54">
        <f t="shared" si="77"/>
        <v>4406.294732000001</v>
      </c>
      <c r="FY34" s="54">
        <f t="shared" si="77"/>
        <v>9953.781746999999</v>
      </c>
      <c r="FZ34" s="54">
        <f t="shared" si="77"/>
        <v>15577.5705745</v>
      </c>
      <c r="GA34" s="54">
        <f t="shared" si="77"/>
        <v>19331.735565000003</v>
      </c>
      <c r="GB34" s="93">
        <f>GA34+FZ34+FY34+FX34+FW34+FV34+FU34+FT34+FS34+FR34+FQ34+FP34</f>
        <v>115442.84315450002</v>
      </c>
      <c r="GC34" s="54">
        <f t="shared" si="77"/>
        <v>13014.059564999998</v>
      </c>
      <c r="GD34" s="54">
        <f t="shared" si="77"/>
        <v>15114.673064999999</v>
      </c>
      <c r="GE34" s="54">
        <f t="shared" si="77"/>
        <v>13808.2173745</v>
      </c>
      <c r="GF34" s="54">
        <f t="shared" si="77"/>
        <v>13706.8701745</v>
      </c>
      <c r="GG34" s="54">
        <f t="shared" si="77"/>
        <v>468.98232</v>
      </c>
      <c r="GH34" s="54">
        <f t="shared" si="77"/>
        <v>2684.9477260000003</v>
      </c>
      <c r="GI34" s="54">
        <f t="shared" si="77"/>
        <v>2538.067726</v>
      </c>
      <c r="GJ34" s="54">
        <f t="shared" si="77"/>
        <v>4910.738335</v>
      </c>
      <c r="GK34" s="54">
        <f t="shared" si="77"/>
        <v>4406.294732000001</v>
      </c>
      <c r="GL34" s="54">
        <f t="shared" si="77"/>
        <v>9953.781746999999</v>
      </c>
      <c r="GM34" s="54">
        <f t="shared" si="77"/>
        <v>16234.465715999999</v>
      </c>
      <c r="GN34" s="54">
        <f t="shared" si="77"/>
        <v>19331.735565000003</v>
      </c>
      <c r="GO34" s="93">
        <f t="shared" si="16"/>
        <v>116172.83404600002</v>
      </c>
      <c r="GP34" s="54">
        <f aca="true" t="shared" si="78" ref="GP34:HA34">GP35+GP36+GP37+GP38+GP39+GP40+GP41</f>
        <v>13014.059564999998</v>
      </c>
      <c r="GQ34" s="54">
        <f t="shared" si="78"/>
        <v>15114.673064999999</v>
      </c>
      <c r="GR34" s="54">
        <f t="shared" si="78"/>
        <v>13228.250633</v>
      </c>
      <c r="GS34" s="54">
        <f t="shared" si="78"/>
        <v>13706.8701745</v>
      </c>
      <c r="GT34" s="54">
        <f t="shared" si="78"/>
        <v>468.98232</v>
      </c>
      <c r="GU34" s="54">
        <f t="shared" si="78"/>
        <v>2684.9477260000003</v>
      </c>
      <c r="GV34" s="54">
        <f t="shared" si="78"/>
        <v>2538.067726</v>
      </c>
      <c r="GW34" s="54">
        <f t="shared" si="78"/>
        <v>4910.738335</v>
      </c>
      <c r="GX34" s="54">
        <f t="shared" si="78"/>
        <v>4406.294732000001</v>
      </c>
      <c r="GY34" s="54">
        <f t="shared" si="78"/>
        <v>9953.781746999999</v>
      </c>
      <c r="GZ34" s="54">
        <f t="shared" si="78"/>
        <v>16234.465715999999</v>
      </c>
      <c r="HA34" s="54">
        <f t="shared" si="78"/>
        <v>19331.735565000003</v>
      </c>
      <c r="HB34" s="93">
        <f t="shared" si="18"/>
        <v>115592.86730450002</v>
      </c>
      <c r="HC34" s="49">
        <f t="shared" si="19"/>
        <v>1497122.8926130002</v>
      </c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93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93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93"/>
      <c r="IP34" s="54"/>
      <c r="IQ34" s="54"/>
      <c r="IR34" s="54"/>
      <c r="IS34" s="54"/>
      <c r="IT34" s="54"/>
      <c r="IU34" s="54"/>
      <c r="IV34" s="54"/>
    </row>
    <row r="35" spans="2:256" ht="14.25" outlineLevel="3">
      <c r="B35" s="98" t="s">
        <v>381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9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93"/>
      <c r="AC35" s="53"/>
      <c r="AD35" s="53"/>
      <c r="AE35" s="53"/>
      <c r="AF35" s="53"/>
      <c r="AG35" s="53"/>
      <c r="AH35" s="53"/>
      <c r="AI35" s="53"/>
      <c r="AJ35" s="53"/>
      <c r="AK35" s="53">
        <f>('Штатное расписание'!G92+'Штатное расписание'!G94)*2/1000</f>
        <v>303.35168050000004</v>
      </c>
      <c r="AL35" s="53">
        <f>('Штатное расписание'!H92+'Штатное расписание'!H94)*2/1000</f>
        <v>319.93925199999995</v>
      </c>
      <c r="AM35" s="53">
        <f>('Штатное расписание'!I92+'Штатное расписание'!I94)*2/1000</f>
        <v>353.114395</v>
      </c>
      <c r="AN35" s="53">
        <f>('Штатное расписание'!J92+'Штатное расписание'!J94)*2/1000</f>
        <v>436.0522525</v>
      </c>
      <c r="AO35" s="93">
        <f t="shared" si="0"/>
        <v>1412.4575799999998</v>
      </c>
      <c r="AP35" s="53">
        <f>('Штатное расписание'!K92+'Штатное расписание'!K94)*2/1000</f>
        <v>518.99011</v>
      </c>
      <c r="AQ35" s="53">
        <f>('Штатное расписание'!L92+'Штатное расписание'!L94)*2/1000</f>
        <v>419.464681</v>
      </c>
      <c r="AR35" s="53">
        <f>('Штатное расписание'!M92+'Штатное расписание'!M94)*2/1000</f>
        <v>319.93925199999995</v>
      </c>
      <c r="AS35" s="53">
        <f>('Штатное расписание'!N92+'Штатное расписание'!N94)*2/1000</f>
        <v>369.70196649999997</v>
      </c>
      <c r="AT35" s="53">
        <f>('Штатное расписание'!O92+'Штатное расписание'!O94)*2/1000</f>
        <v>187.23868</v>
      </c>
      <c r="AU35" s="53">
        <f>('Штатное расписание'!P92+'Штатное расписание'!P94)*2/1000</f>
        <v>203.82625149999998</v>
      </c>
      <c r="AV35" s="53">
        <f>('Штатное расписание'!Q92+'Штатное расписание'!Q94)*2/1000</f>
        <v>220.41382299999998</v>
      </c>
      <c r="AW35" s="53">
        <f>('Штатное расписание'!R92+'Штатное расписание'!R94)*2/1000</f>
        <v>253.588966</v>
      </c>
      <c r="AX35" s="53">
        <f>('Штатное расписание'!G100+'Штатное расписание'!G102)*3/1000</f>
        <v>479.90887799999996</v>
      </c>
      <c r="AY35" s="53">
        <f>('Штатное расписание'!H100+'Штатное расписание'!H102)*3/1000</f>
        <v>579.434307</v>
      </c>
      <c r="AZ35" s="53">
        <f>('Штатное расписание'!I100+'Штатное расписание'!I102)*3/1000</f>
        <v>678.9597359999999</v>
      </c>
      <c r="BA35" s="53">
        <f>('Штатное расписание'!J100+'Штатное расписание'!J102)*3/1000</f>
        <v>778.485165</v>
      </c>
      <c r="BB35" s="93">
        <f t="shared" si="2"/>
        <v>5009.951815999999</v>
      </c>
      <c r="BC35" s="53">
        <f>('Штатное расписание'!K100+'Штатное расписание'!K102)*3/1000</f>
        <v>778.485165</v>
      </c>
      <c r="BD35" s="53">
        <f>('Штатное расписание'!L100+'Штатное расписание'!L102)*3/1000</f>
        <v>778.485165</v>
      </c>
      <c r="BE35" s="53">
        <f>('Штатное расписание'!M100+'Штатное расписание'!M102)*3/1000</f>
        <v>645.7845930000001</v>
      </c>
      <c r="BF35" s="53">
        <f>('Штатное расписание'!N100+'Штатное расписание'!N102)*3/1000</f>
        <v>662.3721645</v>
      </c>
      <c r="BG35" s="53">
        <f>('Штатное расписание'!O100+'Штатное расписание'!O102)*3/1000</f>
        <v>280.85802</v>
      </c>
      <c r="BH35" s="53">
        <f>('Штатное расписание'!P100+'Штатное расписание'!P102)*3/1000</f>
        <v>347.208306</v>
      </c>
      <c r="BI35" s="53">
        <f>('Штатное расписание'!Q100+'Штатное расписание'!Q102)*3/1000</f>
        <v>347.208306</v>
      </c>
      <c r="BJ35" s="53">
        <f>('Штатное расписание'!R100+'Штатное расписание'!R102)*3/1000</f>
        <v>446.73373499999997</v>
      </c>
      <c r="BK35" s="53">
        <f>('Штатное расписание'!G108+'Штатное расписание'!G110)*3/1000</f>
        <v>413.558592</v>
      </c>
      <c r="BL35" s="53">
        <f>('Штатное расписание'!H108+'Штатное расписание'!H110)*3/1000</f>
        <v>579.434307</v>
      </c>
      <c r="BM35" s="53">
        <f>('Штатное расписание'!I108+'Штатное расписание'!I110)*3/1000</f>
        <v>678.9597359999999</v>
      </c>
      <c r="BN35" s="53">
        <f>('Штатное расписание'!J108+'Штатное расписание'!J110)*3/1000</f>
        <v>778.485165</v>
      </c>
      <c r="BO35" s="93">
        <f t="shared" si="4"/>
        <v>6737.5732545</v>
      </c>
      <c r="BP35" s="53">
        <f>('Штатное расписание'!K108+'Штатное расписание'!K110)*3/1000</f>
        <v>778.485165</v>
      </c>
      <c r="BQ35" s="53">
        <f>('Штатное расписание'!L108+'Штатное расписание'!L110)*3/1000</f>
        <v>778.485165</v>
      </c>
      <c r="BR35" s="53">
        <f>('Штатное расписание'!M108+'Штатное расписание'!M110)*3/1000</f>
        <v>662.3721645</v>
      </c>
      <c r="BS35" s="53">
        <f>('Штатное расписание'!N108+'Штатное расписание'!N110)*3/1000</f>
        <v>662.3721645</v>
      </c>
      <c r="BT35" s="53">
        <f>('Штатное расписание'!O108+'Штатное расписание'!O110)*3/1000</f>
        <v>280.85802</v>
      </c>
      <c r="BU35" s="53">
        <f>('Штатное расписание'!P108+'Штатное расписание'!P110)*3/1000</f>
        <v>330.62073449999997</v>
      </c>
      <c r="BV35" s="53">
        <f>('Штатное расписание'!Q108+'Штатное расписание'!Q110)*3/1000</f>
        <v>347.208306</v>
      </c>
      <c r="BW35" s="53">
        <f>('Штатное расписание'!R108+'Штатное расписание'!R110)*3/1000</f>
        <v>463.32130650000005</v>
      </c>
      <c r="BX35" s="53">
        <f>('Штатное расписание'!G116+'Штатное расписание'!G118)*3/1000</f>
        <v>396.9710205</v>
      </c>
      <c r="BY35" s="53">
        <f>('Штатное расписание'!H116+'Штатное расписание'!H118)*3/1000</f>
        <v>579.434307</v>
      </c>
      <c r="BZ35" s="53">
        <f>('Штатное расписание'!I116+'Штатное расписание'!I118)*3/1000</f>
        <v>678.9597359999999</v>
      </c>
      <c r="CA35" s="53">
        <f>('Штатное расписание'!J116+'Штатное расписание'!J118)*3/1000</f>
        <v>778.485165</v>
      </c>
      <c r="CB35" s="93">
        <f>CA35+BZ35+BY35+BX35+BW35+BV35+BU35+BT35+BS35+BR35+BQ35+BP35</f>
        <v>6737.573254500001</v>
      </c>
      <c r="CC35" s="53">
        <f>('Штатное расписание'!K116+'Штатное расписание'!K118)*3/1000</f>
        <v>778.485165</v>
      </c>
      <c r="CD35" s="53">
        <f>('Штатное расписание'!L116+'Штатное расписание'!L118)*3/1000</f>
        <v>778.485165</v>
      </c>
      <c r="CE35" s="53">
        <f>('Штатное расписание'!M116+'Штатное расписание'!M118)*3/1000</f>
        <v>662.3721645</v>
      </c>
      <c r="CF35" s="53">
        <f>('Штатное расписание'!N116+'Штатное расписание'!N118)*3/1000</f>
        <v>662.3721645</v>
      </c>
      <c r="CG35" s="53">
        <f>('Штатное расписание'!O116+'Штатное расписание'!O118)*3/1000</f>
        <v>280.85802</v>
      </c>
      <c r="CH35" s="53">
        <f>('Штатное расписание'!P116+'Штатное расписание'!P118)*3/1000</f>
        <v>330.62073449999997</v>
      </c>
      <c r="CI35" s="53">
        <f>('Штатное расписание'!Q116+'Штатное расписание'!Q118)*3/1000</f>
        <v>347.208306</v>
      </c>
      <c r="CJ35" s="53">
        <f>('Штатное расписание'!R116+'Штатное расписание'!R118)*3/1000</f>
        <v>463.32130650000005</v>
      </c>
      <c r="CK35" s="53">
        <f>('Штатное расписание'!G124+'Штатное расписание'!G126)*3/1000</f>
        <v>413.558592</v>
      </c>
      <c r="CL35" s="53">
        <f>('Штатное расписание'!H124+'Штатное расписание'!H126)*3/1000</f>
        <v>562.8467354999999</v>
      </c>
      <c r="CM35" s="53">
        <f>('Штатное расписание'!I124+'Штатное расписание'!I126)*3/1000</f>
        <v>678.9597359999999</v>
      </c>
      <c r="CN35" s="53">
        <f>('Штатное расписание'!J124+'Штатное расписание'!J126)*3/1000</f>
        <v>778.485165</v>
      </c>
      <c r="CO35" s="93">
        <f>CN35+CM35+CL35+CK35+CJ35+CI35+CH35+CG35+CF35+CE35+CD35+CC35</f>
        <v>6737.573254499999</v>
      </c>
      <c r="CP35" s="53">
        <f>('Штатное расписание'!K124+'Штатное расписание'!K126)*3/1000</f>
        <v>778.485165</v>
      </c>
      <c r="CQ35" s="53">
        <f>('Штатное расписание'!L124+'Штатное расписание'!L126)*3/1000</f>
        <v>778.485165</v>
      </c>
      <c r="CR35" s="53">
        <f>('Штатное расписание'!M124+'Штатное расписание'!M126)*3/1000</f>
        <v>662.3721645</v>
      </c>
      <c r="CS35" s="53">
        <f>('Штатное расписание'!N124+'Штатное расписание'!N126)*3/1000</f>
        <v>662.3721645</v>
      </c>
      <c r="CT35" s="53">
        <f>('Штатное расписание'!O124+'Штатное расписание'!O126)*3/1000</f>
        <v>280.85802</v>
      </c>
      <c r="CU35" s="53">
        <f>('Штатное расписание'!P124+'Штатное расписание'!P126)*3/1000</f>
        <v>347.208306</v>
      </c>
      <c r="CV35" s="53">
        <f>('Штатное расписание'!Q124+'Штатное расписание'!Q126)*3/1000</f>
        <v>330.62073449999997</v>
      </c>
      <c r="CW35" s="53">
        <f>('Штатное расписание'!R124+'Штатное расписание'!R126)*3/1000</f>
        <v>463.32130650000005</v>
      </c>
      <c r="CX35" s="53">
        <f>('Штатное расписание'!G132+'Штатное расписание'!G134)*3/1000</f>
        <v>413.558592</v>
      </c>
      <c r="CY35" s="53">
        <f>('Штатное расписание'!H132+'Штатное расписание'!H134)*3/1000</f>
        <v>579.434307</v>
      </c>
      <c r="CZ35" s="53">
        <f>('Штатное расписание'!I132+'Штатное расписание'!I134)*3/1000</f>
        <v>662.3721645</v>
      </c>
      <c r="DA35" s="53">
        <f>('Штатное расписание'!J132+'Штатное расписание'!J134)*3/1000</f>
        <v>778.485165</v>
      </c>
      <c r="DB35" s="93">
        <f>DA35+CZ35+CY35+CX35+CW35+CV35+CU35+CT35+CS35+CR35+CQ35+CP35</f>
        <v>6737.573254500001</v>
      </c>
      <c r="DC35" s="53">
        <f>('Штатное расписание'!K132+'Штатное расписание'!K134)*3/1000</f>
        <v>778.485165</v>
      </c>
      <c r="DD35" s="53">
        <f>('Штатное расписание'!L132+'Штатное расписание'!L134)*3/1000</f>
        <v>778.485165</v>
      </c>
      <c r="DE35" s="53">
        <f>('Штатное расписание'!M132+'Штатное расписание'!M134)*3/1000</f>
        <v>662.3721645</v>
      </c>
      <c r="DF35" s="53">
        <f>('Штатное расписание'!N132+'Штатное расписание'!N134)*3/1000</f>
        <v>662.3721645</v>
      </c>
      <c r="DG35" s="53">
        <f>('Штатное расписание'!O132+'Штатное расписание'!O134)*3/1000</f>
        <v>280.85802</v>
      </c>
      <c r="DH35" s="53">
        <f>('Штатное расписание'!P132+'Штатное расписание'!P134)*3/1000</f>
        <v>347.208306</v>
      </c>
      <c r="DI35" s="53">
        <f>('Штатное расписание'!Q132+'Штатное расписание'!Q134)*3/1000</f>
        <v>330.62073449999997</v>
      </c>
      <c r="DJ35" s="53">
        <f>('Штатное расписание'!R132+'Штатное расписание'!R134)*3/1000</f>
        <v>463.32130650000005</v>
      </c>
      <c r="DK35" s="53">
        <f>('Штатное расписание'!G140+'Штатное расписание'!G142)*3/1000</f>
        <v>413.558592</v>
      </c>
      <c r="DL35" s="53">
        <f>('Штатное расписание'!H140+'Штатное расписание'!H142)*3/1000</f>
        <v>579.434307</v>
      </c>
      <c r="DM35" s="53">
        <f>('Штатное расписание'!I140+'Штатное расписание'!I142)*3/1000</f>
        <v>678.9597359999999</v>
      </c>
      <c r="DN35" s="53">
        <f>('Штатное расписание'!J140+'Штатное расписание'!J142)*3/1000</f>
        <v>778.485165</v>
      </c>
      <c r="DO35" s="93">
        <f>DN35+DM35+DL35+DK35+DJ35+DI35+DH35+DG35+DF35+DE35+DD35+DC35</f>
        <v>6754.160825999999</v>
      </c>
      <c r="DP35" s="53">
        <f>('Штатное расписание'!K140+'Штатное расписание'!K142)*3/1000</f>
        <v>778.485165</v>
      </c>
      <c r="DQ35" s="53">
        <f>('Штатное расписание'!L140+'Штатное расписание'!L142)*3/1000</f>
        <v>778.485165</v>
      </c>
      <c r="DR35" s="53">
        <f>('Штатное расписание'!M140+'Штатное расписание'!M142)*3/1000</f>
        <v>645.7845930000001</v>
      </c>
      <c r="DS35" s="53">
        <f>('Штатное расписание'!N140+'Штатное расписание'!N142)*3/1000</f>
        <v>662.3721645</v>
      </c>
      <c r="DT35" s="53">
        <f>('Штатное расписание'!O140+'Штатное расписание'!O142)*3/1000</f>
        <v>280.85802</v>
      </c>
      <c r="DU35" s="53">
        <f>('Штатное расписание'!P140+'Штатное расписание'!P142)*3/1000</f>
        <v>347.208306</v>
      </c>
      <c r="DV35" s="53">
        <f>('Штатное расписание'!Q140+'Штатное расписание'!Q142)*3/1000</f>
        <v>347.208306</v>
      </c>
      <c r="DW35" s="53">
        <f>('Штатное расписание'!R140+'Штатное расписание'!R142)*3/1000</f>
        <v>446.73373499999997</v>
      </c>
      <c r="DX35" s="53">
        <f>('Штатное расписание'!G148+'Штатное расписание'!G150)*3/1000</f>
        <v>413.558592</v>
      </c>
      <c r="DY35" s="53">
        <f>('Штатное расписание'!H148+'Штатное расписание'!H150)*3/1000</f>
        <v>579.434307</v>
      </c>
      <c r="DZ35" s="53">
        <f>('Штатное расписание'!I148+'Штатное расписание'!I150)*3/1000</f>
        <v>678.9597359999999</v>
      </c>
      <c r="EA35" s="53">
        <f>('Штатное расписание'!J148+'Штатное расписание'!J150)*3/1000</f>
        <v>778.485165</v>
      </c>
      <c r="EB35" s="93">
        <f>EA35+DZ35+DY35+DX35+DW35+DV35+DU35+DT35+DS35+DR35+DQ35+DP35</f>
        <v>6737.5732545</v>
      </c>
      <c r="EC35" s="53">
        <f>('Штатное расписание'!K148+'Штатное расписание'!K150)*3/1000</f>
        <v>778.485165</v>
      </c>
      <c r="ED35" s="53">
        <f>('Штатное расписание'!L148+'Штатное расписание'!L150)*3/1000</f>
        <v>778.485165</v>
      </c>
      <c r="EE35" s="53">
        <f>('Штатное расписание'!M148+'Штатное расписание'!M150)*3/1000</f>
        <v>645.7845930000001</v>
      </c>
      <c r="EF35" s="53">
        <f>('Штатное расписание'!N148+'Штатное расписание'!N150)*3/1000</f>
        <v>662.3721645</v>
      </c>
      <c r="EG35" s="53">
        <f>('Штатное расписание'!O148+'Штатное расписание'!O150)*3/1000</f>
        <v>280.85802</v>
      </c>
      <c r="EH35" s="53">
        <f>('Штатное расписание'!P148+'Штатное расписание'!P150)*3/1000</f>
        <v>347.208306</v>
      </c>
      <c r="EI35" s="53">
        <f>('Штатное расписание'!Q148+'Штатное расписание'!Q150)*3/1000</f>
        <v>347.208306</v>
      </c>
      <c r="EJ35" s="53">
        <f>('Штатное расписание'!R148+'Штатное расписание'!R150)*3/1000</f>
        <v>463.32130650000005</v>
      </c>
      <c r="EK35" s="53">
        <f>('Штатное расписание'!G156+'Штатное расписание'!G158)*3/1000</f>
        <v>396.9710205</v>
      </c>
      <c r="EL35" s="53">
        <f>('Штатное расписание'!H156+'Штатное расписание'!H158)*3/1000</f>
        <v>579.434307</v>
      </c>
      <c r="EM35" s="53">
        <f>('Штатное расписание'!I156+'Штатное расписание'!I158)*3/1000</f>
        <v>678.9597359999999</v>
      </c>
      <c r="EN35" s="53">
        <f>('Штатное расписание'!J156+'Штатное расписание'!J158)*3/1000</f>
        <v>778.485165</v>
      </c>
      <c r="EO35" s="93">
        <f>EN35+EM35+EL35+EK35+EJ35+EI35+EH35+EG35+EF35+EE35+ED35+EC35</f>
        <v>6737.573254500001</v>
      </c>
      <c r="EP35" s="53">
        <f>('Штатное расписание'!K156+'Штатное расписание'!K158)*3/1000</f>
        <v>778.485165</v>
      </c>
      <c r="EQ35" s="53">
        <f>('Штатное расписание'!L156+'Штатное расписание'!L158)*3/1000</f>
        <v>778.485165</v>
      </c>
      <c r="ER35" s="53">
        <f>('Штатное расписание'!M156+'Штатное расписание'!M158)*3/1000</f>
        <v>662.3721645</v>
      </c>
      <c r="ES35" s="53">
        <f>('Штатное расписание'!N156+'Штатное расписание'!N158)*3/1000</f>
        <v>662.3721645</v>
      </c>
      <c r="ET35" s="53">
        <f>('Штатное расписание'!O156+'Штатное расписание'!O158)*3/1000</f>
        <v>280.85802</v>
      </c>
      <c r="EU35" s="53">
        <f>('Штатное расписание'!P156+'Штатное расписание'!P158)*3/1000</f>
        <v>330.62073449999997</v>
      </c>
      <c r="EV35" s="53">
        <f>('Штатное расписание'!Q156+'Штатное расписание'!Q158)*3/1000</f>
        <v>347.208306</v>
      </c>
      <c r="EW35" s="53">
        <f>('Штатное расписание'!R156+'Штатное расписание'!R158)*3/1000</f>
        <v>463.32130650000005</v>
      </c>
      <c r="EX35" s="53">
        <f>('Штатное расписание'!G164+'Штатное расписание'!G166)*3/1000</f>
        <v>396.9710205</v>
      </c>
      <c r="EY35" s="53">
        <f>('Штатное расписание'!H164+'Штатное расписание'!H166)*3/1000</f>
        <v>579.434307</v>
      </c>
      <c r="EZ35" s="53">
        <f>('Штатное расписание'!I164+'Штатное расписание'!I166)*3/1000</f>
        <v>678.9597359999999</v>
      </c>
      <c r="FA35" s="53">
        <f>('Штатное расписание'!J164+'Штатное расписание'!J166)*3/1000</f>
        <v>778.485165</v>
      </c>
      <c r="FB35" s="93">
        <f>FA35+EZ35+EY35+EX35+EW35+EV35+EU35+ET35+ES35+ER35+EQ35+EP35</f>
        <v>6737.573254500001</v>
      </c>
      <c r="FC35" s="53">
        <f>('Штатное расписание'!K164+'Штатное расписание'!K166)*3/1000</f>
        <v>778.485165</v>
      </c>
      <c r="FD35" s="53">
        <f>('Штатное расписание'!L164+'Штатное расписание'!L166)*3/1000</f>
        <v>778.485165</v>
      </c>
      <c r="FE35" s="53">
        <f>('Штатное расписание'!M164+'Штатное расписание'!M166)*3/1000</f>
        <v>662.3721645</v>
      </c>
      <c r="FF35" s="53">
        <f>('Штатное расписание'!N164+'Штатное расписание'!N166)*3/1000</f>
        <v>662.3721645</v>
      </c>
      <c r="FG35" s="53">
        <f>('Штатное расписание'!O164+'Штатное расписание'!O166)*3/1000</f>
        <v>280.85802</v>
      </c>
      <c r="FH35" s="53">
        <f>('Штатное расписание'!P164+'Штатное расписание'!P166)*3/1000</f>
        <v>330.62073449999997</v>
      </c>
      <c r="FI35" s="53">
        <f>('Штатное расписание'!Q164+'Штатное расписание'!Q166)*3/1000</f>
        <v>347.208306</v>
      </c>
      <c r="FJ35" s="53">
        <f>('Штатное расписание'!R164+'Штатное расписание'!R166)*3/1000</f>
        <v>463.32130650000005</v>
      </c>
      <c r="FK35" s="53">
        <f>('Штатное расписание'!G172+'Штатное расписание'!G174)*3/1000</f>
        <v>413.558592</v>
      </c>
      <c r="FL35" s="53">
        <f>('Штатное расписание'!H172+'Штатное расписание'!H174)*3/1000</f>
        <v>562.8467354999999</v>
      </c>
      <c r="FM35" s="53">
        <f>('Штатное расписание'!I172+'Штатное расписание'!I174)*3/1000</f>
        <v>678.9597359999999</v>
      </c>
      <c r="FN35" s="53">
        <f>('Штатное расписание'!J172+'Штатное расписание'!J174)*3/1000</f>
        <v>778.485165</v>
      </c>
      <c r="FO35" s="93">
        <f>FN35+FM35+FL35+FK35+FJ35+FI35+FH35+FG35+FF35+FE35+FD35+FC35</f>
        <v>6737.573254499999</v>
      </c>
      <c r="FP35" s="53">
        <f>('Штатное расписание'!K172+'Штатное расписание'!K174)*3/1000</f>
        <v>778.485165</v>
      </c>
      <c r="FQ35" s="53">
        <f>('Штатное расписание'!L172+'Штатное расписание'!L174)*3/1000</f>
        <v>778.485165</v>
      </c>
      <c r="FR35" s="53">
        <f>('Штатное расписание'!M172+'Штатное расписание'!M174)*3/1000</f>
        <v>662.3721645</v>
      </c>
      <c r="FS35" s="53">
        <f>('Штатное расписание'!N172+'Штатное расписание'!N174)*3/1000</f>
        <v>662.3721645</v>
      </c>
      <c r="FT35" s="53">
        <f>('Штатное расписание'!O172+'Штатное расписание'!O174)*3/1000</f>
        <v>280.85802</v>
      </c>
      <c r="FU35" s="53">
        <f>('Штатное расписание'!P172+'Штатное расписание'!P174)*3/1000</f>
        <v>347.208306</v>
      </c>
      <c r="FV35" s="53">
        <f>('Штатное расписание'!Q172+'Штатное расписание'!Q174)*3/1000</f>
        <v>330.62073449999997</v>
      </c>
      <c r="FW35" s="53">
        <f>('Штатное расписание'!R172+'Штатное расписание'!R174)*3/1000</f>
        <v>463.32130650000005</v>
      </c>
      <c r="FX35" s="53">
        <f>('Штатное расписание'!G180+'Штатное расписание'!G182)*3/1000</f>
        <v>413.558592</v>
      </c>
      <c r="FY35" s="53">
        <f>('Штатное расписание'!H180+'Штатное расписание'!H182)*3/1000</f>
        <v>579.434307</v>
      </c>
      <c r="FZ35" s="53">
        <f>('Штатное расписание'!I180+'Штатное расписание'!I182)*3/1000</f>
        <v>662.3721645</v>
      </c>
      <c r="GA35" s="53">
        <f>('Штатное расписание'!J180+'Штатное расписание'!J182)*3/1000</f>
        <v>778.485165</v>
      </c>
      <c r="GB35" s="93">
        <f>GA35+FZ35+FY35+FX35+FW35+FV35+FU35+FT35+FS35+FR35+FQ35+FP35</f>
        <v>6737.573254500001</v>
      </c>
      <c r="GC35" s="53">
        <f>('Штатное расписание'!K180+'Штатное расписание'!K182)*3/1000</f>
        <v>778.485165</v>
      </c>
      <c r="GD35" s="53">
        <f>('Штатное расписание'!L180+'Штатное расписание'!L182)*3/1000</f>
        <v>778.485165</v>
      </c>
      <c r="GE35" s="53">
        <f>('Штатное расписание'!M180+'Штатное расписание'!M182)*3/1000</f>
        <v>662.3721645</v>
      </c>
      <c r="GF35" s="53">
        <f>('Штатное расписание'!N180+'Штатное расписание'!N182)*3/1000</f>
        <v>662.3721645</v>
      </c>
      <c r="GG35" s="53">
        <f>('Штатное расписание'!O180+'Штатное расписание'!O182)*3/1000</f>
        <v>280.85802</v>
      </c>
      <c r="GH35" s="53">
        <f>('Штатное расписание'!P180+'Штатное расписание'!P182)*3/1000</f>
        <v>347.208306</v>
      </c>
      <c r="GI35" s="53">
        <f>('Штатное расписание'!Q180+'Штатное расписание'!Q182)*3/1000</f>
        <v>347.208306</v>
      </c>
      <c r="GJ35" s="53">
        <f>('Штатное расписание'!R180+'Штатное расписание'!R182)*3/1000</f>
        <v>446.73373499999997</v>
      </c>
      <c r="GK35" s="53">
        <f>('Штатное расписание'!G188+'Штатное расписание'!G190)*3/1000</f>
        <v>413.558592</v>
      </c>
      <c r="GL35" s="53">
        <f>('Штатное расписание'!H188+'Штатное расписание'!H190)*3/1000</f>
        <v>579.434307</v>
      </c>
      <c r="GM35" s="53">
        <f>('Штатное расписание'!I188+'Штатное расписание'!I190)*3/1000</f>
        <v>678.9597359999999</v>
      </c>
      <c r="GN35" s="53">
        <f>('Штатное расписание'!J188+'Штатное расписание'!J190)*3/1000</f>
        <v>778.485165</v>
      </c>
      <c r="GO35" s="93">
        <f t="shared" si="16"/>
        <v>6754.160825999999</v>
      </c>
      <c r="GP35" s="53">
        <f>('Штатное расписание'!K188+'Штатное расписание'!K190)*3/1000</f>
        <v>778.485165</v>
      </c>
      <c r="GQ35" s="53">
        <f>('Штатное расписание'!L188+'Штатное расписание'!L190)*3/1000</f>
        <v>778.485165</v>
      </c>
      <c r="GR35" s="53">
        <f>('Штатное расписание'!M188+'Штатное расписание'!M190)*3/1000</f>
        <v>645.7845930000001</v>
      </c>
      <c r="GS35" s="53">
        <f>('Штатное расписание'!N188+'Штатное расписание'!N190)*3/1000</f>
        <v>662.3721645</v>
      </c>
      <c r="GT35" s="53">
        <f>('Штатное расписание'!O188+'Штатное расписание'!O190)*3/1000</f>
        <v>280.85802</v>
      </c>
      <c r="GU35" s="53">
        <f>('Штатное расписание'!P188+'Штатное расписание'!P190)*3/1000</f>
        <v>347.208306</v>
      </c>
      <c r="GV35" s="53">
        <f>('Штатное расписание'!Q188+'Штатное расписание'!Q190)*3/1000</f>
        <v>347.208306</v>
      </c>
      <c r="GW35" s="53">
        <f>('Штатное расписание'!R188+'Штатное расписание'!R190)*3/1000</f>
        <v>446.73373499999997</v>
      </c>
      <c r="GX35" s="53">
        <f>('Штатное расписание'!G188+'Штатное расписание'!G190)*3/1000</f>
        <v>413.558592</v>
      </c>
      <c r="GY35" s="53">
        <f>('Штатное расписание'!H188+'Штатное расписание'!H190)*3/1000</f>
        <v>579.434307</v>
      </c>
      <c r="GZ35" s="53">
        <f>('Штатное расписание'!I188+'Штатное расписание'!I190)*3/1000</f>
        <v>678.9597359999999</v>
      </c>
      <c r="HA35" s="53">
        <f>('Штатное расписание'!J188+'Штатное расписание'!J190)*3/1000</f>
        <v>778.485165</v>
      </c>
      <c r="HB35" s="93">
        <f>HA35+GZ35+GY35+GX35+GW35+GV35+GU35+GT35+GS35+GR35+GQ35+GP35</f>
        <v>6737.5732545</v>
      </c>
      <c r="HC35" s="49">
        <f t="shared" si="19"/>
        <v>87306.46359300001</v>
      </c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9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9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93"/>
      <c r="IP35" s="53"/>
      <c r="IQ35" s="53"/>
      <c r="IR35" s="53"/>
      <c r="IS35" s="53"/>
      <c r="IT35" s="53"/>
      <c r="IU35" s="53"/>
      <c r="IV35" s="53"/>
    </row>
    <row r="36" spans="1:256" s="56" customFormat="1" ht="14.25" outlineLevel="2">
      <c r="A36" s="30"/>
      <c r="B36" s="98" t="s">
        <v>392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95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95"/>
      <c r="AC36" s="53"/>
      <c r="AD36" s="53"/>
      <c r="AE36" s="53"/>
      <c r="AF36" s="53"/>
      <c r="AG36" s="53"/>
      <c r="AH36" s="53"/>
      <c r="AI36" s="53"/>
      <c r="AJ36" s="53"/>
      <c r="AK36" s="53">
        <f>Командировочные!F5/1000</f>
        <v>21</v>
      </c>
      <c r="AL36" s="53">
        <f>Командировочные!G5/1000</f>
        <v>24</v>
      </c>
      <c r="AM36" s="53">
        <f>Командировочные!H5/1000</f>
        <v>30</v>
      </c>
      <c r="AN36" s="53">
        <f>Командировочные!I5/1000</f>
        <v>45</v>
      </c>
      <c r="AO36" s="93">
        <f t="shared" si="0"/>
        <v>120</v>
      </c>
      <c r="AP36" s="53">
        <f>Командировочные!J5/1000</f>
        <v>60</v>
      </c>
      <c r="AQ36" s="53">
        <f>Командировочные!K5/1000</f>
        <v>42</v>
      </c>
      <c r="AR36" s="53">
        <f>Командировочные!L5/1000</f>
        <v>24</v>
      </c>
      <c r="AS36" s="53">
        <f>Командировочные!M5/1000</f>
        <v>33</v>
      </c>
      <c r="AT36" s="53">
        <f>Командировочные!N5/1000</f>
        <v>0</v>
      </c>
      <c r="AU36" s="53">
        <f>Командировочные!O5/1000</f>
        <v>3</v>
      </c>
      <c r="AV36" s="53">
        <f>Командировочные!P5/1000</f>
        <v>6</v>
      </c>
      <c r="AW36" s="53">
        <f>Командировочные!Q5/1000</f>
        <v>12</v>
      </c>
      <c r="AX36" s="53">
        <f>Командировочные!F7/1000</f>
        <v>36</v>
      </c>
      <c r="AY36" s="53">
        <f>Командировочные!G7/1000</f>
        <v>54</v>
      </c>
      <c r="AZ36" s="53">
        <f>Командировочные!H7/1000</f>
        <v>72</v>
      </c>
      <c r="BA36" s="53">
        <f>Командировочные!I7/1000</f>
        <v>90</v>
      </c>
      <c r="BB36" s="93">
        <f t="shared" si="2"/>
        <v>432</v>
      </c>
      <c r="BC36" s="53">
        <f>Командировочные!J7/1000</f>
        <v>90</v>
      </c>
      <c r="BD36" s="53">
        <f>Командировочные!K7/1000</f>
        <v>90</v>
      </c>
      <c r="BE36" s="53">
        <f>Командировочные!L7/1000</f>
        <v>66</v>
      </c>
      <c r="BF36" s="53">
        <f>Командировочные!M7/1000</f>
        <v>69</v>
      </c>
      <c r="BG36" s="53">
        <f>Командировочные!N7/1000</f>
        <v>0</v>
      </c>
      <c r="BH36" s="53">
        <f>Командировочные!O7/1000</f>
        <v>12</v>
      </c>
      <c r="BI36" s="53">
        <f>Командировочные!P7/1000</f>
        <v>12</v>
      </c>
      <c r="BJ36" s="53">
        <f>Командировочные!Q7/1000</f>
        <v>30</v>
      </c>
      <c r="BK36" s="53">
        <f>Командировочные!F9/1000</f>
        <v>24</v>
      </c>
      <c r="BL36" s="53">
        <f>Командировочные!G9/1000</f>
        <v>54</v>
      </c>
      <c r="BM36" s="53">
        <f>Командировочные!H9/1000</f>
        <v>72</v>
      </c>
      <c r="BN36" s="53">
        <f>Командировочные!I9/1000</f>
        <v>90</v>
      </c>
      <c r="BO36" s="93">
        <f t="shared" si="4"/>
        <v>609</v>
      </c>
      <c r="BP36" s="53">
        <f>Командировочные!J9/1000</f>
        <v>90</v>
      </c>
      <c r="BQ36" s="53">
        <f>Командировочные!K9/1000</f>
        <v>90</v>
      </c>
      <c r="BR36" s="53">
        <f>Командировочные!L9/1000</f>
        <v>69</v>
      </c>
      <c r="BS36" s="53">
        <f>Командировочные!M9/1000</f>
        <v>69</v>
      </c>
      <c r="BT36" s="53">
        <f>Командировочные!N9/1000</f>
        <v>0</v>
      </c>
      <c r="BU36" s="53">
        <f>Командировочные!O9/1000</f>
        <v>9</v>
      </c>
      <c r="BV36" s="53">
        <f>Командировочные!P9/1000</f>
        <v>12</v>
      </c>
      <c r="BW36" s="53">
        <f>Командировочные!Q9/1000</f>
        <v>33</v>
      </c>
      <c r="BX36" s="53">
        <f>Командировочные!F11/1000</f>
        <v>21</v>
      </c>
      <c r="BY36" s="53">
        <f>Командировочные!G11/1000</f>
        <v>54</v>
      </c>
      <c r="BZ36" s="53">
        <f>Командировочные!H11/1000</f>
        <v>72</v>
      </c>
      <c r="CA36" s="53">
        <f>Командировочные!I11/1000</f>
        <v>90</v>
      </c>
      <c r="CB36" s="93">
        <f aca="true" t="shared" si="79" ref="CB36:CB42">CA36+BZ36+BY36+BX36+BW36+BV36+BU36+BT36+BS36+BR36+BQ36+BP36</f>
        <v>609</v>
      </c>
      <c r="CC36" s="53">
        <f>Командировочные!J11/1000</f>
        <v>90</v>
      </c>
      <c r="CD36" s="53">
        <f>Командировочные!K11/1000</f>
        <v>90</v>
      </c>
      <c r="CE36" s="53">
        <f>Командировочные!L11/1000</f>
        <v>69</v>
      </c>
      <c r="CF36" s="53">
        <f>Командировочные!M11/1000</f>
        <v>69</v>
      </c>
      <c r="CG36" s="53">
        <f>Командировочные!N11/1000</f>
        <v>0</v>
      </c>
      <c r="CH36" s="53">
        <f>Командировочные!O11/1000</f>
        <v>9</v>
      </c>
      <c r="CI36" s="53">
        <f>Командировочные!P11/1000</f>
        <v>12</v>
      </c>
      <c r="CJ36" s="53">
        <f>Командировочные!Q11/1000</f>
        <v>33</v>
      </c>
      <c r="CK36" s="53">
        <f>Командировочные!F13/1000</f>
        <v>24</v>
      </c>
      <c r="CL36" s="53">
        <f>Командировочные!G13/1000</f>
        <v>51</v>
      </c>
      <c r="CM36" s="53">
        <f>Командировочные!H13/1000</f>
        <v>72</v>
      </c>
      <c r="CN36" s="53">
        <f>Командировочные!I13/1000</f>
        <v>90</v>
      </c>
      <c r="CO36" s="93">
        <f>CN36+CM36+CL36+CK36+CJ36+CI36+CH36+CG36+CF36+CE36+CD36+CC36</f>
        <v>609</v>
      </c>
      <c r="CP36" s="53">
        <f>Командировочные!J13/1000</f>
        <v>90</v>
      </c>
      <c r="CQ36" s="53">
        <f>Командировочные!K13/1000</f>
        <v>90</v>
      </c>
      <c r="CR36" s="53">
        <f>Командировочные!L13/1000</f>
        <v>69</v>
      </c>
      <c r="CS36" s="53">
        <f>Командировочные!M13/1000</f>
        <v>69</v>
      </c>
      <c r="CT36" s="53">
        <f>Командировочные!N13/1000</f>
        <v>0</v>
      </c>
      <c r="CU36" s="53">
        <f>Командировочные!O13/1000</f>
        <v>12</v>
      </c>
      <c r="CV36" s="53">
        <f>Командировочные!P13/1000</f>
        <v>9</v>
      </c>
      <c r="CW36" s="53">
        <f>Командировочные!Q13/1000</f>
        <v>33</v>
      </c>
      <c r="CX36" s="53">
        <f>Командировочные!F15/1000</f>
        <v>24</v>
      </c>
      <c r="CY36" s="53">
        <f>Командировочные!G15/1000</f>
        <v>54</v>
      </c>
      <c r="CZ36" s="53">
        <f>Командировочные!H15/1000</f>
        <v>69</v>
      </c>
      <c r="DA36" s="53">
        <f>Командировочные!I15/1000</f>
        <v>90</v>
      </c>
      <c r="DB36" s="93">
        <f aca="true" t="shared" si="80" ref="DB36:DB55">DA36+CZ36+CY36+CX36+CW36+CV36+CU36+CT36+CS36+CR36+CQ36+CP36</f>
        <v>609</v>
      </c>
      <c r="DC36" s="53">
        <f>Командировочные!J15/1000</f>
        <v>90</v>
      </c>
      <c r="DD36" s="53">
        <f>Командировочные!K15/1000</f>
        <v>90</v>
      </c>
      <c r="DE36" s="53">
        <f>Командировочные!L15/1000</f>
        <v>69</v>
      </c>
      <c r="DF36" s="53">
        <f>Командировочные!M15/1000</f>
        <v>69</v>
      </c>
      <c r="DG36" s="53">
        <f>Командировочные!N15/1000</f>
        <v>0</v>
      </c>
      <c r="DH36" s="53">
        <f>Командировочные!O15/1000</f>
        <v>12</v>
      </c>
      <c r="DI36" s="53">
        <f>Командировочные!P15/1000</f>
        <v>9</v>
      </c>
      <c r="DJ36" s="53">
        <f>Командировочные!Q15/1000</f>
        <v>33</v>
      </c>
      <c r="DK36" s="53">
        <f>Командировочные!F17/1000</f>
        <v>24</v>
      </c>
      <c r="DL36" s="53">
        <f>Командировочные!G17/1000</f>
        <v>54</v>
      </c>
      <c r="DM36" s="53">
        <f>Командировочные!H17/1000</f>
        <v>72</v>
      </c>
      <c r="DN36" s="53">
        <f>Командировочные!I17/1000</f>
        <v>90</v>
      </c>
      <c r="DO36" s="93">
        <f aca="true" t="shared" si="81" ref="DO36:DO54">DN36+DM36+DL36+DK36+DJ36+DI36+DH36+DG36+DF36+DE36+DD36+DC36</f>
        <v>612</v>
      </c>
      <c r="DP36" s="53">
        <f>Командировочные!J17/1000</f>
        <v>90</v>
      </c>
      <c r="DQ36" s="53">
        <f>Командировочные!K17/1000</f>
        <v>90</v>
      </c>
      <c r="DR36" s="53">
        <f>Командировочные!L17/1000</f>
        <v>66</v>
      </c>
      <c r="DS36" s="53">
        <f>Командировочные!M17/1000</f>
        <v>69</v>
      </c>
      <c r="DT36" s="53">
        <f>Командировочные!N17/1000</f>
        <v>0</v>
      </c>
      <c r="DU36" s="53">
        <f>Командировочные!O17/1000</f>
        <v>12</v>
      </c>
      <c r="DV36" s="53">
        <f>Командировочные!P17/1000</f>
        <v>12</v>
      </c>
      <c r="DW36" s="53">
        <f>Командировочные!Q17/1000</f>
        <v>30</v>
      </c>
      <c r="DX36" s="53">
        <f>Командировочные!F19/1000</f>
        <v>24</v>
      </c>
      <c r="DY36" s="53">
        <f>Командировочные!G19/1000</f>
        <v>54</v>
      </c>
      <c r="DZ36" s="53">
        <f>Командировочные!H19/1000</f>
        <v>72</v>
      </c>
      <c r="EA36" s="53">
        <f>Командировочные!I19/1000</f>
        <v>90</v>
      </c>
      <c r="EB36" s="93">
        <f aca="true" t="shared" si="82" ref="EB36:EB54">EA36+DZ36+DY36+DX36+DW36+DV36+DU36+DT36+DS36+DR36+DQ36+DP36</f>
        <v>609</v>
      </c>
      <c r="EC36" s="53">
        <f>Командировочные!J19/1000</f>
        <v>90</v>
      </c>
      <c r="ED36" s="53">
        <f>Командировочные!K19/1000</f>
        <v>90</v>
      </c>
      <c r="EE36" s="53">
        <f>Командировочные!L19/1000</f>
        <v>66</v>
      </c>
      <c r="EF36" s="53">
        <f>Командировочные!M19/1000</f>
        <v>69</v>
      </c>
      <c r="EG36" s="53">
        <f>Командировочные!N19/1000</f>
        <v>0</v>
      </c>
      <c r="EH36" s="53">
        <f>Командировочные!O19/1000</f>
        <v>12</v>
      </c>
      <c r="EI36" s="53">
        <f>Командировочные!P19/1000</f>
        <v>12</v>
      </c>
      <c r="EJ36" s="53">
        <f>Командировочные!Q19/1000</f>
        <v>33</v>
      </c>
      <c r="EK36" s="53">
        <f>Командировочные!F21/1000</f>
        <v>21</v>
      </c>
      <c r="EL36" s="53">
        <f>Командировочные!G21/1000</f>
        <v>54</v>
      </c>
      <c r="EM36" s="53">
        <f>Командировочные!H21/1000</f>
        <v>72</v>
      </c>
      <c r="EN36" s="53">
        <f>Командировочные!I21/1000</f>
        <v>90</v>
      </c>
      <c r="EO36" s="93">
        <f aca="true" t="shared" si="83" ref="EO36:EO54">EN36+EM36+EL36+EK36+EJ36+EI36+EH36+EG36+EF36+EE36+ED36+EC36</f>
        <v>609</v>
      </c>
      <c r="EP36" s="53">
        <f>Командировочные!J21/1000</f>
        <v>90</v>
      </c>
      <c r="EQ36" s="53">
        <f>Командировочные!K21/1000</f>
        <v>90</v>
      </c>
      <c r="ER36" s="53">
        <f>Командировочные!L21/1000</f>
        <v>69</v>
      </c>
      <c r="ES36" s="53">
        <f>Командировочные!M21/1000</f>
        <v>69</v>
      </c>
      <c r="ET36" s="53">
        <f>Командировочные!N21/1000</f>
        <v>0</v>
      </c>
      <c r="EU36" s="53">
        <f>Командировочные!O21/1000</f>
        <v>9</v>
      </c>
      <c r="EV36" s="53">
        <f>Командировочные!P21/1000</f>
        <v>12</v>
      </c>
      <c r="EW36" s="53">
        <f>Командировочные!Q21/1000</f>
        <v>33</v>
      </c>
      <c r="EX36" s="53">
        <f>Командировочные!F23/1000</f>
        <v>21</v>
      </c>
      <c r="EY36" s="53">
        <f>Командировочные!G23/1000</f>
        <v>54</v>
      </c>
      <c r="EZ36" s="53">
        <f>Командировочные!H23/1000</f>
        <v>72</v>
      </c>
      <c r="FA36" s="53">
        <f>Командировочные!I23/1000</f>
        <v>90</v>
      </c>
      <c r="FB36" s="93">
        <f aca="true" t="shared" si="84" ref="FB36:FB54">FA36+EZ36+EY36+EX36+EW36+EV36+EU36+ET36+ES36+ER36+EQ36+EP36</f>
        <v>609</v>
      </c>
      <c r="FC36" s="53">
        <f>Командировочные!J23/1000</f>
        <v>90</v>
      </c>
      <c r="FD36" s="53">
        <f>Командировочные!K23/1000</f>
        <v>90</v>
      </c>
      <c r="FE36" s="53">
        <f>Командировочные!L23/1000</f>
        <v>69</v>
      </c>
      <c r="FF36" s="53">
        <f>Командировочные!M23/1000</f>
        <v>69</v>
      </c>
      <c r="FG36" s="53">
        <f>Командировочные!N23/1000</f>
        <v>0</v>
      </c>
      <c r="FH36" s="53">
        <f>Командировочные!O23/1000</f>
        <v>9</v>
      </c>
      <c r="FI36" s="53">
        <f>Командировочные!P23/1000</f>
        <v>12</v>
      </c>
      <c r="FJ36" s="53">
        <f>Командировочные!Q23/1000</f>
        <v>33</v>
      </c>
      <c r="FK36" s="53">
        <f>Командировочные!F25/1000</f>
        <v>24</v>
      </c>
      <c r="FL36" s="53">
        <f>Командировочные!G25/1000</f>
        <v>51</v>
      </c>
      <c r="FM36" s="53">
        <f>Командировочные!H25/1000</f>
        <v>72</v>
      </c>
      <c r="FN36" s="53">
        <f>Командировочные!I25/1000</f>
        <v>90</v>
      </c>
      <c r="FO36" s="93">
        <f aca="true" t="shared" si="85" ref="FO36:FO54">FN36+FM36+FL36+FK36+FJ36+FI36+FH36+FG36+FF36+FE36+FD36+FC36</f>
        <v>609</v>
      </c>
      <c r="FP36" s="53">
        <f>Командировочные!J25/1000</f>
        <v>90</v>
      </c>
      <c r="FQ36" s="53">
        <f>Командировочные!K25/1000</f>
        <v>90</v>
      </c>
      <c r="FR36" s="53">
        <f>Командировочные!L25/1000</f>
        <v>69</v>
      </c>
      <c r="FS36" s="53">
        <f>Командировочные!M25/1000</f>
        <v>69</v>
      </c>
      <c r="FT36" s="53">
        <f>Командировочные!N25/1000</f>
        <v>0</v>
      </c>
      <c r="FU36" s="53">
        <f>Командировочные!O25/1000</f>
        <v>12</v>
      </c>
      <c r="FV36" s="53">
        <f>Командировочные!P25/1000</f>
        <v>9</v>
      </c>
      <c r="FW36" s="53">
        <f>Командировочные!Q25/1000</f>
        <v>33</v>
      </c>
      <c r="FX36" s="53">
        <f>Командировочные!F27/1000</f>
        <v>24</v>
      </c>
      <c r="FY36" s="53">
        <f>Командировочные!G27/1000</f>
        <v>54</v>
      </c>
      <c r="FZ36" s="53">
        <f>Командировочные!H27/1000</f>
        <v>69</v>
      </c>
      <c r="GA36" s="53">
        <f>Командировочные!I27/1000</f>
        <v>90</v>
      </c>
      <c r="GB36" s="93">
        <f aca="true" t="shared" si="86" ref="GB36:GB54">GA36+FZ36+FY36+FX36+FW36+FV36+FU36+FT36+FS36+FR36+FQ36+FP36</f>
        <v>609</v>
      </c>
      <c r="GC36" s="53">
        <f>Командировочные!J27/1000</f>
        <v>90</v>
      </c>
      <c r="GD36" s="53">
        <f>Командировочные!K27/1000</f>
        <v>90</v>
      </c>
      <c r="GE36" s="53">
        <f>Командировочные!L27/1000</f>
        <v>69</v>
      </c>
      <c r="GF36" s="53">
        <f>Командировочные!M27/1000</f>
        <v>69</v>
      </c>
      <c r="GG36" s="53">
        <f>Командировочные!N27/1000</f>
        <v>0</v>
      </c>
      <c r="GH36" s="53">
        <f>Командировочные!O27/1000</f>
        <v>12</v>
      </c>
      <c r="GI36" s="53">
        <f>Командировочные!P27/1000</f>
        <v>12</v>
      </c>
      <c r="GJ36" s="53">
        <f>Командировочные!Q27/1000</f>
        <v>30</v>
      </c>
      <c r="GK36" s="53">
        <f>Командировочные!F29/1000</f>
        <v>24</v>
      </c>
      <c r="GL36" s="53">
        <f>Командировочные!G29/1000</f>
        <v>54</v>
      </c>
      <c r="GM36" s="53">
        <f>Командировочные!H29/1000</f>
        <v>72</v>
      </c>
      <c r="GN36" s="53">
        <f>Командировочные!I29/1000</f>
        <v>90</v>
      </c>
      <c r="GO36" s="93">
        <f t="shared" si="16"/>
        <v>612</v>
      </c>
      <c r="GP36" s="53">
        <f>Командировочные!J29/1000</f>
        <v>90</v>
      </c>
      <c r="GQ36" s="53">
        <f>Командировочные!K29/1000</f>
        <v>90</v>
      </c>
      <c r="GR36" s="53">
        <f>Командировочные!L29/1000</f>
        <v>66</v>
      </c>
      <c r="GS36" s="53">
        <f>Командировочные!M29/1000</f>
        <v>69</v>
      </c>
      <c r="GT36" s="53">
        <f>Командировочные!N29/1000</f>
        <v>0</v>
      </c>
      <c r="GU36" s="53">
        <f>Командировочные!O29/1000</f>
        <v>12</v>
      </c>
      <c r="GV36" s="53">
        <f>Командировочные!P29/1000</f>
        <v>12</v>
      </c>
      <c r="GW36" s="53">
        <f>Командировочные!Q29/1000</f>
        <v>30</v>
      </c>
      <c r="GX36" s="53">
        <f>Командировочные!F29/1000</f>
        <v>24</v>
      </c>
      <c r="GY36" s="53">
        <f>Командировочные!G29/1000</f>
        <v>54</v>
      </c>
      <c r="GZ36" s="53">
        <f>Командировочные!H29/1000</f>
        <v>72</v>
      </c>
      <c r="HA36" s="53">
        <f>Командировочные!I29/1000</f>
        <v>90</v>
      </c>
      <c r="HB36" s="93">
        <f aca="true" t="shared" si="87" ref="HB36:HB45">HA36+GZ36+GY36+GX36+GW36+GV36+GU36+GT36+GS36+GR36+GQ36+GP36</f>
        <v>609</v>
      </c>
      <c r="HC36" s="49">
        <f t="shared" si="19"/>
        <v>7866</v>
      </c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95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95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95"/>
      <c r="IP36" s="53"/>
      <c r="IQ36" s="53"/>
      <c r="IR36" s="53"/>
      <c r="IS36" s="53"/>
      <c r="IT36" s="53"/>
      <c r="IU36" s="53"/>
      <c r="IV36" s="53"/>
    </row>
    <row r="37" spans="2:256" ht="14.25" outlineLevel="3">
      <c r="B37" s="98" t="s">
        <v>393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9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93"/>
      <c r="AC37" s="53"/>
      <c r="AD37" s="53"/>
      <c r="AE37" s="53"/>
      <c r="AF37" s="53"/>
      <c r="AG37" s="53"/>
      <c r="AH37" s="53"/>
      <c r="AI37" s="53"/>
      <c r="AJ37" s="53"/>
      <c r="AK37" s="53">
        <f>'Покупка СУГ'!G6/1000</f>
        <v>2586.7862999999998</v>
      </c>
      <c r="AL37" s="53">
        <f>'Покупка СУГ'!H6/1000</f>
        <v>3234.4812</v>
      </c>
      <c r="AM37" s="53">
        <f>'Покупка СУГ'!I6/1000</f>
        <v>5185.5525</v>
      </c>
      <c r="AN37" s="53">
        <f>'Покупка СУГ'!J6/1000</f>
        <v>7356.27825</v>
      </c>
      <c r="AO37" s="93">
        <f t="shared" si="0"/>
        <v>18363.098250000003</v>
      </c>
      <c r="AP37" s="53">
        <f>'Покупка СУГ'!K6/1000</f>
        <v>5596.587</v>
      </c>
      <c r="AQ37" s="53">
        <f>'Покупка СУГ'!L6/1000</f>
        <v>4897.8972</v>
      </c>
      <c r="AR37" s="53">
        <f>'Покупка СУГ'!M6/1000</f>
        <v>3533.0148</v>
      </c>
      <c r="AS37" s="53">
        <f>'Покупка СУГ'!N6/1000</f>
        <v>4809.4249500000005</v>
      </c>
      <c r="AT37" s="53">
        <f>'Покупка СУГ'!O6/1000</f>
        <v>0</v>
      </c>
      <c r="AU37" s="53">
        <f>'Покупка СУГ'!P6/1000</f>
        <v>431.3682</v>
      </c>
      <c r="AV37" s="53">
        <f>'Покупка СУГ'!Q6/1000</f>
        <v>789.2964000000001</v>
      </c>
      <c r="AW37" s="53">
        <f>'Покупка СУГ'!R6/1000</f>
        <v>1286.2098</v>
      </c>
      <c r="AX37" s="53">
        <f>'Покупка СУГ'!G9/1000</f>
        <v>4434.4908</v>
      </c>
      <c r="AY37" s="53">
        <f>'Покупка СУГ'!H9/1000</f>
        <v>7277.5827</v>
      </c>
      <c r="AZ37" s="53">
        <f>'Покупка СУГ'!I9/1000</f>
        <v>12445.326</v>
      </c>
      <c r="BA37" s="53">
        <f>'Покупка СУГ'!J9/1000</f>
        <v>14712.5565</v>
      </c>
      <c r="BB37" s="93">
        <f t="shared" si="2"/>
        <v>60213.75434999999</v>
      </c>
      <c r="BC37" s="53">
        <f>'Покупка СУГ'!K9/1000</f>
        <v>8394.8805</v>
      </c>
      <c r="BD37" s="53">
        <f>'Покупка СУГ'!L9/1000</f>
        <v>10495.494</v>
      </c>
      <c r="BE37" s="53">
        <f>'Покупка СУГ'!M9/1000</f>
        <v>9715.7907</v>
      </c>
      <c r="BF37" s="53">
        <f>'Покупка СУГ'!N9/1000</f>
        <v>10056.07035</v>
      </c>
      <c r="BG37" s="53">
        <f>'Покупка СУГ'!O9/1000</f>
        <v>0</v>
      </c>
      <c r="BH37" s="53">
        <f>'Покупка СУГ'!P9/1000</f>
        <v>1725.4728</v>
      </c>
      <c r="BI37" s="53">
        <f>'Покупка СУГ'!Q9/1000</f>
        <v>1578.5928000000001</v>
      </c>
      <c r="BJ37" s="53">
        <f>'Покупка СУГ'!R9/1000</f>
        <v>3215.5245</v>
      </c>
      <c r="BK37" s="53">
        <f>'Покупка СУГ'!G12/1000</f>
        <v>2956.3272</v>
      </c>
      <c r="BL37" s="53">
        <f>'Покупка СУГ'!H12/1000</f>
        <v>7277.5827</v>
      </c>
      <c r="BM37" s="53">
        <f>'Покупка СУГ'!I12/1000</f>
        <v>12445.326</v>
      </c>
      <c r="BN37" s="53">
        <f>'Покупка СУГ'!J12/1000</f>
        <v>14712.5565</v>
      </c>
      <c r="BO37" s="93">
        <f t="shared" si="4"/>
        <v>82573.61805</v>
      </c>
      <c r="BP37" s="53">
        <f>'Покупка СУГ'!K12/1000</f>
        <v>8394.8805</v>
      </c>
      <c r="BQ37" s="53">
        <f>'Покупка СУГ'!L12/1000</f>
        <v>10495.494</v>
      </c>
      <c r="BR37" s="53">
        <f>'Покупка СУГ'!M12/1000</f>
        <v>10157.41755</v>
      </c>
      <c r="BS37" s="53">
        <f>'Покупка СУГ'!N12/1000</f>
        <v>10056.07035</v>
      </c>
      <c r="BT37" s="53">
        <f>'Покупка СУГ'!O12/1000</f>
        <v>0</v>
      </c>
      <c r="BU37" s="53">
        <f>'Покупка СУГ'!P12/1000</f>
        <v>1294.1046000000001</v>
      </c>
      <c r="BV37" s="53">
        <f>'Покупка СУГ'!Q12/1000</f>
        <v>1578.5928000000001</v>
      </c>
      <c r="BW37" s="53">
        <f>'Покупка СУГ'!R12/1000</f>
        <v>3537.07695</v>
      </c>
      <c r="BX37" s="53">
        <f>'Покупка СУГ'!G15/1000</f>
        <v>2586.7862999999998</v>
      </c>
      <c r="BY37" s="53">
        <f>'Покупка СУГ'!H15/1000</f>
        <v>7277.5827</v>
      </c>
      <c r="BZ37" s="53">
        <f>'Покупка СУГ'!I15/1000</f>
        <v>12445.326</v>
      </c>
      <c r="CA37" s="53">
        <f>'Покупка СУГ'!J15/1000</f>
        <v>14712.5565</v>
      </c>
      <c r="CB37" s="93">
        <f t="shared" si="79"/>
        <v>82535.88825</v>
      </c>
      <c r="CC37" s="53">
        <f>'Покупка СУГ'!K15/1000</f>
        <v>8394.8805</v>
      </c>
      <c r="CD37" s="53">
        <f>'Покупка СУГ'!L15/1000</f>
        <v>10495.494</v>
      </c>
      <c r="CE37" s="53">
        <f>'Покупка СУГ'!M15/1000</f>
        <v>10157.41755</v>
      </c>
      <c r="CF37" s="53">
        <f>'Покупка СУГ'!N15/1000</f>
        <v>10056.07035</v>
      </c>
      <c r="CG37" s="53">
        <f>'Покупка СУГ'!O15/1000</f>
        <v>0</v>
      </c>
      <c r="CH37" s="53">
        <f>'Покупка СУГ'!P15/1000</f>
        <v>1294.1046000000001</v>
      </c>
      <c r="CI37" s="53">
        <f>'Покупка СУГ'!Q15/1000</f>
        <v>1578.5928000000001</v>
      </c>
      <c r="CJ37" s="53">
        <f>'Покупка СУГ'!R15/1000</f>
        <v>3537.07695</v>
      </c>
      <c r="CK37" s="53">
        <f>'Покупка СУГ'!G18/1000</f>
        <v>2956.3272</v>
      </c>
      <c r="CL37" s="53">
        <f>'Покупка СУГ'!H18/1000</f>
        <v>6873.27255</v>
      </c>
      <c r="CM37" s="53">
        <f>'Покупка СУГ'!I18/1000</f>
        <v>12445.326</v>
      </c>
      <c r="CN37" s="53">
        <f>'Покупка СУГ'!J18/1000</f>
        <v>14712.5565</v>
      </c>
      <c r="CO37" s="93">
        <f aca="true" t="shared" si="88" ref="CO37:CO55">CN37+CM37+CL37+CK37+CJ37+CI37+CH37+CG37+CF37+CE37+CD37+CC37</f>
        <v>82501.119</v>
      </c>
      <c r="CP37" s="53">
        <f>'Покупка СУГ'!K18/1000</f>
        <v>8394.8805</v>
      </c>
      <c r="CQ37" s="53">
        <f>'Покупка СУГ'!L18/1000</f>
        <v>10495.494</v>
      </c>
      <c r="CR37" s="53">
        <f>'Покупка СУГ'!M18/1000</f>
        <v>10157.41755</v>
      </c>
      <c r="CS37" s="53">
        <f>'Покупка СУГ'!N18/1000</f>
        <v>10056.07035</v>
      </c>
      <c r="CT37" s="53">
        <f>'Покупка СУГ'!O18/1000</f>
        <v>0</v>
      </c>
      <c r="CU37" s="53">
        <f>'Покупка СУГ'!P18/1000</f>
        <v>1725.4728</v>
      </c>
      <c r="CV37" s="53">
        <f>'Покупка СУГ'!Q18/1000</f>
        <v>1183.9446</v>
      </c>
      <c r="CW37" s="53">
        <f>'Покупка СУГ'!R18/1000</f>
        <v>3537.07695</v>
      </c>
      <c r="CX37" s="53">
        <f>'Покупка СУГ'!G21/1000</f>
        <v>2956.3272</v>
      </c>
      <c r="CY37" s="53">
        <f>'Покупка СУГ'!H21/1000</f>
        <v>7277.5827</v>
      </c>
      <c r="CZ37" s="53">
        <f>'Покупка СУГ'!I21/1000</f>
        <v>11926.77075</v>
      </c>
      <c r="DA37" s="53">
        <f>'Покупка СУГ'!J21/1000</f>
        <v>14712.5565</v>
      </c>
      <c r="DB37" s="93">
        <f t="shared" si="80"/>
        <v>82423.5939</v>
      </c>
      <c r="DC37" s="53">
        <f>'Покупка СУГ'!K21/1000</f>
        <v>8394.8805</v>
      </c>
      <c r="DD37" s="53">
        <f>'Покупка СУГ'!L21/1000</f>
        <v>10495.494</v>
      </c>
      <c r="DE37" s="53">
        <f>'Покупка СУГ'!M21/1000</f>
        <v>10157.41755</v>
      </c>
      <c r="DF37" s="53">
        <f>'Покупка СУГ'!N21/1000</f>
        <v>10056.07035</v>
      </c>
      <c r="DG37" s="53">
        <f>'Покупка СУГ'!O21/1000</f>
        <v>0</v>
      </c>
      <c r="DH37" s="53">
        <f>'Покупка СУГ'!P21/1000</f>
        <v>1725.4728</v>
      </c>
      <c r="DI37" s="53">
        <f>'Покупка СУГ'!Q21/1000</f>
        <v>1183.9446</v>
      </c>
      <c r="DJ37" s="53">
        <f>'Покупка СУГ'!R21/1000</f>
        <v>3537.07695</v>
      </c>
      <c r="DK37" s="53">
        <f>'Покупка СУГ'!G24/1000</f>
        <v>2956.3272</v>
      </c>
      <c r="DL37" s="53">
        <f>'Покупка СУГ'!H24/1000</f>
        <v>7277.5827</v>
      </c>
      <c r="DM37" s="53">
        <f>'Покупка СУГ'!I24/1000</f>
        <v>12445.326</v>
      </c>
      <c r="DN37" s="53">
        <f>'Покупка СУГ'!J24/1000</f>
        <v>14712.5565</v>
      </c>
      <c r="DO37" s="93">
        <f t="shared" si="81"/>
        <v>82942.14915000001</v>
      </c>
      <c r="DP37" s="53">
        <f>'Покупка СУГ'!K24/1000</f>
        <v>8394.8805</v>
      </c>
      <c r="DQ37" s="53">
        <f>'Покупка СУГ'!L24/1000</f>
        <v>10495.494</v>
      </c>
      <c r="DR37" s="53">
        <f>'Покупка СУГ'!M24/1000</f>
        <v>9715.7907</v>
      </c>
      <c r="DS37" s="53">
        <f>'Покупка СУГ'!N24/1000</f>
        <v>10056.07035</v>
      </c>
      <c r="DT37" s="53">
        <f>'Покупка СУГ'!O24/1000</f>
        <v>0</v>
      </c>
      <c r="DU37" s="53">
        <f>'Покупка СУГ'!P24/1000</f>
        <v>1725.4728</v>
      </c>
      <c r="DV37" s="53">
        <f>'Покупка СУГ'!Q24/1000</f>
        <v>1578.5928000000001</v>
      </c>
      <c r="DW37" s="53">
        <f>'Покупка СУГ'!R24/1000</f>
        <v>3215.5245</v>
      </c>
      <c r="DX37" s="53">
        <f>'Покупка СУГ'!G27/1000</f>
        <v>2956.3272</v>
      </c>
      <c r="DY37" s="53">
        <f>'Покупка СУГ'!H27/1000</f>
        <v>7277.5827</v>
      </c>
      <c r="DZ37" s="53">
        <f>'Покупка СУГ'!I27/1000</f>
        <v>12445.326</v>
      </c>
      <c r="EA37" s="53">
        <f>'Покупка СУГ'!J27/1000</f>
        <v>14712.5565</v>
      </c>
      <c r="EB37" s="93">
        <f t="shared" si="82"/>
        <v>82573.61805</v>
      </c>
      <c r="EC37" s="53">
        <f>'Покупка СУГ'!K27/1000</f>
        <v>8394.8805</v>
      </c>
      <c r="ED37" s="53">
        <f>'Покупка СУГ'!L27/1000</f>
        <v>10495.494</v>
      </c>
      <c r="EE37" s="53">
        <f>'Покупка СУГ'!M27/1000</f>
        <v>9715.7907</v>
      </c>
      <c r="EF37" s="53">
        <f>'Покупка СУГ'!N27/1000</f>
        <v>10056.07035</v>
      </c>
      <c r="EG37" s="53">
        <f>'Покупка СУГ'!O27/1000</f>
        <v>0</v>
      </c>
      <c r="EH37" s="53">
        <f>'Покупка СУГ'!P27/1000</f>
        <v>1725.4728</v>
      </c>
      <c r="EI37" s="53">
        <f>'Покупка СУГ'!Q27/1000</f>
        <v>1578.5928000000001</v>
      </c>
      <c r="EJ37" s="53">
        <f>'Покупка СУГ'!R27/1000</f>
        <v>3537.07695</v>
      </c>
      <c r="EK37" s="53">
        <f>'Покупка СУГ'!G30/1000</f>
        <v>2586.7862999999998</v>
      </c>
      <c r="EL37" s="53">
        <f>'Покупка СУГ'!H30/1000</f>
        <v>7277.5827</v>
      </c>
      <c r="EM37" s="53">
        <f>'Покупка СУГ'!I30/1000</f>
        <v>12445.326</v>
      </c>
      <c r="EN37" s="53">
        <f>'Покупка СУГ'!J30/1000</f>
        <v>14712.5565</v>
      </c>
      <c r="EO37" s="93">
        <f t="shared" si="83"/>
        <v>82525.6296</v>
      </c>
      <c r="EP37" s="53">
        <f>'Покупка СУГ'!K30/1000</f>
        <v>8394.8805</v>
      </c>
      <c r="EQ37" s="53">
        <f>'Покупка СУГ'!L30/1000</f>
        <v>10495.494</v>
      </c>
      <c r="ER37" s="53">
        <f>'Покупка СУГ'!M30/1000</f>
        <v>10157.41755</v>
      </c>
      <c r="ES37" s="53">
        <f>'Покупка СУГ'!N30/1000</f>
        <v>10056.07035</v>
      </c>
      <c r="ET37" s="53">
        <f>'Покупка СУГ'!O30/1000</f>
        <v>0</v>
      </c>
      <c r="EU37" s="53">
        <f>'Покупка СУГ'!P30/1000</f>
        <v>1294.1046000000001</v>
      </c>
      <c r="EV37" s="53">
        <f>'Покупка СУГ'!Q30/1000</f>
        <v>1578.5928000000001</v>
      </c>
      <c r="EW37" s="53">
        <f>'Покупка СУГ'!R30/1000</f>
        <v>3537.07695</v>
      </c>
      <c r="EX37" s="53">
        <f>'Покупка СУГ'!G33/1000</f>
        <v>2586.7862999999998</v>
      </c>
      <c r="EY37" s="53">
        <f>'Покупка СУГ'!H33/1000</f>
        <v>7277.5827</v>
      </c>
      <c r="EZ37" s="53">
        <f>'Покупка СУГ'!I33/1000</f>
        <v>12445.326</v>
      </c>
      <c r="FA37" s="53">
        <f>'Покупка СУГ'!J33/1000</f>
        <v>14712.5565</v>
      </c>
      <c r="FB37" s="93">
        <f t="shared" si="84"/>
        <v>82535.88825</v>
      </c>
      <c r="FC37" s="53">
        <f>'Покупка СУГ'!K33/1000</f>
        <v>8394.8805</v>
      </c>
      <c r="FD37" s="53">
        <f>'Покупка СУГ'!L33/1000</f>
        <v>10495.494</v>
      </c>
      <c r="FE37" s="53">
        <f>'Покупка СУГ'!M33/1000</f>
        <v>10157.41755</v>
      </c>
      <c r="FF37" s="53">
        <f>'Покупка СУГ'!N33/1000</f>
        <v>10056.07035</v>
      </c>
      <c r="FG37" s="53">
        <f>'Покупка СУГ'!O33/1000</f>
        <v>0</v>
      </c>
      <c r="FH37" s="53">
        <f>'Покупка СУГ'!P33/1000</f>
        <v>1294.1046000000001</v>
      </c>
      <c r="FI37" s="53">
        <f>'Покупка СУГ'!Q33/1000</f>
        <v>1578.5928000000001</v>
      </c>
      <c r="FJ37" s="53">
        <f>'Покупка СУГ'!R33/1000</f>
        <v>3537.07695</v>
      </c>
      <c r="FK37" s="53">
        <f>'Покупка СУГ'!G36/1000</f>
        <v>2956.3272</v>
      </c>
      <c r="FL37" s="53">
        <f>'Покупка СУГ'!H36/1000</f>
        <v>6873.27255</v>
      </c>
      <c r="FM37" s="53">
        <f>'Покупка СУГ'!I36/1000</f>
        <v>12445.326</v>
      </c>
      <c r="FN37" s="53">
        <f>'Покупка СУГ'!J36/1000</f>
        <v>14712.5565</v>
      </c>
      <c r="FO37" s="93">
        <f t="shared" si="85"/>
        <v>82501.119</v>
      </c>
      <c r="FP37" s="53">
        <f>'Покупка СУГ'!K36/1000</f>
        <v>8394.8805</v>
      </c>
      <c r="FQ37" s="53">
        <f>'Покупка СУГ'!L36/1000</f>
        <v>10495.494</v>
      </c>
      <c r="FR37" s="53">
        <f>'Покупка СУГ'!M36/1000</f>
        <v>10157.41755</v>
      </c>
      <c r="FS37" s="53">
        <f>'Покупка СУГ'!N36/1000</f>
        <v>10056.07035</v>
      </c>
      <c r="FT37" s="53">
        <f>'Покупка СУГ'!O36/1000</f>
        <v>0</v>
      </c>
      <c r="FU37" s="53">
        <f>'Покупка СУГ'!P36/1000</f>
        <v>1725.4728</v>
      </c>
      <c r="FV37" s="53">
        <f>'Покупка СУГ'!Q36/1000</f>
        <v>1183.9446</v>
      </c>
      <c r="FW37" s="53">
        <f>'Покупка СУГ'!R36/1000</f>
        <v>3537.07695</v>
      </c>
      <c r="FX37" s="53">
        <f>'Покупка СУГ'!G39/1000</f>
        <v>2956.3272</v>
      </c>
      <c r="FY37" s="53">
        <f>'Покупка СУГ'!H39/1000</f>
        <v>7277.5827</v>
      </c>
      <c r="FZ37" s="53">
        <f>'Покупка СУГ'!I39/1000</f>
        <v>11926.77075</v>
      </c>
      <c r="GA37" s="53">
        <f>'Покупка СУГ'!J39/1000</f>
        <v>14712.5565</v>
      </c>
      <c r="GB37" s="93">
        <f t="shared" si="86"/>
        <v>82423.5939</v>
      </c>
      <c r="GC37" s="53">
        <f>'Покупка СУГ'!K39/1000</f>
        <v>8394.8805</v>
      </c>
      <c r="GD37" s="53">
        <f>'Покупка СУГ'!L39/1000</f>
        <v>10495.494</v>
      </c>
      <c r="GE37" s="53">
        <f>'Покупка СУГ'!M39/1000</f>
        <v>10157.41755</v>
      </c>
      <c r="GF37" s="53">
        <f>'Покупка СУГ'!N39/1000</f>
        <v>10056.07035</v>
      </c>
      <c r="GG37" s="53">
        <f>'Покупка СУГ'!O39/1000</f>
        <v>0</v>
      </c>
      <c r="GH37" s="53">
        <f>'Покупка СУГ'!P39/1000</f>
        <v>1725.4728</v>
      </c>
      <c r="GI37" s="53">
        <f>'Покупка СУГ'!Q39/1000</f>
        <v>1578.5928000000001</v>
      </c>
      <c r="GJ37" s="53">
        <f>'Покупка СУГ'!R39/1000</f>
        <v>3215.5245</v>
      </c>
      <c r="GK37" s="53">
        <f>'Покупка СУГ'!G42/1000</f>
        <v>2956.3272</v>
      </c>
      <c r="GL37" s="53">
        <f>'Покупка СУГ'!H42/1000</f>
        <v>7277.5827</v>
      </c>
      <c r="GM37" s="53">
        <f>'Покупка СУГ'!I42/1000</f>
        <v>12445.326</v>
      </c>
      <c r="GN37" s="53">
        <f>'Покупка СУГ'!J42/1000</f>
        <v>14712.5565</v>
      </c>
      <c r="GO37" s="93">
        <f t="shared" si="16"/>
        <v>83015.2449</v>
      </c>
      <c r="GP37" s="53">
        <f>'Покупка СУГ'!K42/1000</f>
        <v>8394.8805</v>
      </c>
      <c r="GQ37" s="53">
        <f>'Покупка СУГ'!L42/1000</f>
        <v>10495.494</v>
      </c>
      <c r="GR37" s="53">
        <f>'Покупка СУГ'!M42/1000</f>
        <v>9715.7907</v>
      </c>
      <c r="GS37" s="53">
        <f>'Покупка СУГ'!N42/1000</f>
        <v>10056.07035</v>
      </c>
      <c r="GT37" s="53">
        <f>'Покупка СУГ'!O42/1000</f>
        <v>0</v>
      </c>
      <c r="GU37" s="53">
        <f>'Покупка СУГ'!P42/1000</f>
        <v>1725.4728</v>
      </c>
      <c r="GV37" s="53">
        <f>'Покупка СУГ'!Q42/1000</f>
        <v>1578.5928000000001</v>
      </c>
      <c r="GW37" s="53">
        <f>'Покупка СУГ'!R42/1000</f>
        <v>3215.5245</v>
      </c>
      <c r="GX37" s="53">
        <f>'Покупка СУГ'!G42/1000</f>
        <v>2956.3272</v>
      </c>
      <c r="GY37" s="53">
        <f>'Покупка СУГ'!H42/1000</f>
        <v>7277.5827</v>
      </c>
      <c r="GZ37" s="53">
        <f>'Покупка СУГ'!I42/1000</f>
        <v>12445.326</v>
      </c>
      <c r="HA37" s="53">
        <f>'Покупка СУГ'!J42/1000</f>
        <v>14712.5565</v>
      </c>
      <c r="HB37" s="93">
        <f t="shared" si="87"/>
        <v>82573.61805</v>
      </c>
      <c r="HC37" s="49">
        <f t="shared" si="19"/>
        <v>1069701.9327</v>
      </c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9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9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93"/>
      <c r="IP37" s="53"/>
      <c r="IQ37" s="53"/>
      <c r="IR37" s="53"/>
      <c r="IS37" s="53"/>
      <c r="IT37" s="53"/>
      <c r="IU37" s="53"/>
      <c r="IV37" s="53"/>
    </row>
    <row r="38" spans="1:256" s="56" customFormat="1" ht="14.25" outlineLevel="2">
      <c r="A38" s="30"/>
      <c r="B38" s="98" t="s">
        <v>398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95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95"/>
      <c r="AC38" s="53"/>
      <c r="AD38" s="53"/>
      <c r="AE38" s="53"/>
      <c r="AF38" s="53"/>
      <c r="AG38" s="53"/>
      <c r="AH38" s="53"/>
      <c r="AI38" s="53"/>
      <c r="AJ38" s="53"/>
      <c r="AK38" s="53">
        <f>'ГСМ на Газовозы'!G6/1000</f>
        <v>611.0572999999999</v>
      </c>
      <c r="AL38" s="53">
        <f>'ГСМ на Газовозы'!H6/1000</f>
        <v>698.3512</v>
      </c>
      <c r="AM38" s="53">
        <f>'ГСМ на Газовозы'!I6/1000</f>
        <v>1030.1064000000001</v>
      </c>
      <c r="AN38" s="53">
        <f>'ГСМ на Газовозы'!J6/1000</f>
        <v>1545.1596000000002</v>
      </c>
      <c r="AO38" s="93">
        <f t="shared" si="0"/>
        <v>3884.6745000000005</v>
      </c>
      <c r="AP38" s="53">
        <f>'ГСМ на Газовозы'!K6/1000</f>
        <v>2060.2128000000002</v>
      </c>
      <c r="AQ38" s="53">
        <f>'ГСМ на Газовозы'!L6/1000</f>
        <v>1442.14896</v>
      </c>
      <c r="AR38" s="53">
        <f>'ГСМ на Газовозы'!M6/1000</f>
        <v>824.08512</v>
      </c>
      <c r="AS38" s="53">
        <f>'ГСМ на Газовозы'!N6/1000</f>
        <v>1133.11704</v>
      </c>
      <c r="AT38" s="53">
        <f>'ГСМ на Газовозы'!O6/1000</f>
        <v>0</v>
      </c>
      <c r="AU38" s="53">
        <f>'ГСМ на Газовозы'!P6/1000</f>
        <v>87.2939</v>
      </c>
      <c r="AV38" s="53">
        <f>'ГСМ на Газовозы'!Q6/1000</f>
        <v>174.5878</v>
      </c>
      <c r="AW38" s="53">
        <f>'ГСМ на Газовозы'!R6/1000</f>
        <v>349.1756</v>
      </c>
      <c r="AX38" s="53">
        <f>'ГСМ на Газовозы'!G8/1000</f>
        <v>1047.5267999999999</v>
      </c>
      <c r="AY38" s="53">
        <f>'ГСМ на Газовозы'!H8/1000</f>
        <v>1571.2902</v>
      </c>
      <c r="AZ38" s="53">
        <f>'ГСМ на Газовозы'!I8/1000</f>
        <v>2472.2553599999997</v>
      </c>
      <c r="BA38" s="53">
        <f>'ГСМ на Газовозы'!J8/1000</f>
        <v>3090.3192000000004</v>
      </c>
      <c r="BB38" s="93">
        <f t="shared" si="2"/>
        <v>14252.012780000001</v>
      </c>
      <c r="BC38" s="53">
        <f>'ГСМ на Газовозы'!K8/1000</f>
        <v>3090.3192000000004</v>
      </c>
      <c r="BD38" s="53">
        <f>'ГСМ на Газовозы'!L8/1000</f>
        <v>3090.3192000000004</v>
      </c>
      <c r="BE38" s="53">
        <f>'ГСМ на Газовозы'!M8/1000</f>
        <v>2266.23408</v>
      </c>
      <c r="BF38" s="53">
        <f>'ГСМ на Газовозы'!N8/1000</f>
        <v>2369.24472</v>
      </c>
      <c r="BG38" s="53">
        <f>'ГСМ на Газовозы'!O8/1000</f>
        <v>0</v>
      </c>
      <c r="BH38" s="53">
        <f>'ГСМ на Газовозы'!P8/1000</f>
        <v>349.1756</v>
      </c>
      <c r="BI38" s="53">
        <f>'ГСМ на Газовозы'!Q8/1000</f>
        <v>349.1756</v>
      </c>
      <c r="BJ38" s="53">
        <f>'ГСМ на Газовозы'!R8/1000</f>
        <v>872.939</v>
      </c>
      <c r="BK38" s="53">
        <f>'ГСМ на Газовозы'!G10/1000</f>
        <v>698.3512</v>
      </c>
      <c r="BL38" s="53">
        <f>'ГСМ на Газовозы'!H10/1000</f>
        <v>1571.2902</v>
      </c>
      <c r="BM38" s="53">
        <f>'ГСМ на Газовозы'!I10/1000</f>
        <v>2472.2553599999997</v>
      </c>
      <c r="BN38" s="53">
        <f>'ГСМ на Газовозы'!J10/1000</f>
        <v>3090.3192000000004</v>
      </c>
      <c r="BO38" s="93">
        <f t="shared" si="4"/>
        <v>20219.623360000005</v>
      </c>
      <c r="BP38" s="53">
        <f>'ГСМ на Газовозы'!K10/1000</f>
        <v>3090.3192000000004</v>
      </c>
      <c r="BQ38" s="53">
        <f>'ГСМ на Газовозы'!L10/1000</f>
        <v>3090.3192000000004</v>
      </c>
      <c r="BR38" s="53">
        <f>'ГСМ на Газовозы'!M10/1000</f>
        <v>2369.24472</v>
      </c>
      <c r="BS38" s="53">
        <f>'ГСМ на Газовозы'!N10/1000</f>
        <v>2369.24472</v>
      </c>
      <c r="BT38" s="53">
        <f>'ГСМ на Газовозы'!O10/1000</f>
        <v>0</v>
      </c>
      <c r="BU38" s="53">
        <f>'ГСМ на Газовозы'!P10/1000</f>
        <v>261.88169999999997</v>
      </c>
      <c r="BV38" s="53">
        <f>'ГСМ на Газовозы'!Q10/1000</f>
        <v>349.1756</v>
      </c>
      <c r="BW38" s="53">
        <f>'ГСМ на Газовозы'!R10/1000</f>
        <v>960.2328999999999</v>
      </c>
      <c r="BX38" s="53">
        <f>'ГСМ на Газовозы'!G12/1000</f>
        <v>611.0572999999999</v>
      </c>
      <c r="BY38" s="53">
        <f>'ГСМ на Газовозы'!H12/1000</f>
        <v>1571.2902</v>
      </c>
      <c r="BZ38" s="53">
        <f>'ГСМ на Газовозы'!I12/1000</f>
        <v>2472.2553599999997</v>
      </c>
      <c r="CA38" s="53">
        <f>'ГСМ на Газовозы'!J12/1000</f>
        <v>3090.3192000000004</v>
      </c>
      <c r="CB38" s="93">
        <f t="shared" si="79"/>
        <v>20235.340100000005</v>
      </c>
      <c r="CC38" s="53">
        <f>'ГСМ на Газовозы'!K12/1000</f>
        <v>3090.3192000000004</v>
      </c>
      <c r="CD38" s="53">
        <f>'ГСМ на Газовозы'!L12/1000</f>
        <v>3090.3192000000004</v>
      </c>
      <c r="CE38" s="53">
        <f>'ГСМ на Газовозы'!M12/1000</f>
        <v>2369.24472</v>
      </c>
      <c r="CF38" s="53">
        <f>'ГСМ на Газовозы'!N12/1000</f>
        <v>2369.24472</v>
      </c>
      <c r="CG38" s="53">
        <f>'ГСМ на Газовозы'!O12/1000</f>
        <v>0</v>
      </c>
      <c r="CH38" s="53">
        <f>'ГСМ на Газовозы'!P12/1000</f>
        <v>261.88169999999997</v>
      </c>
      <c r="CI38" s="53">
        <f>'ГСМ на Газовозы'!Q12/1000</f>
        <v>349.1756</v>
      </c>
      <c r="CJ38" s="53">
        <f>'ГСМ на Газовозы'!R12/1000</f>
        <v>960.2328999999999</v>
      </c>
      <c r="CK38" s="53">
        <f>'ГСМ на Газовозы'!G14/1000</f>
        <v>698.3512</v>
      </c>
      <c r="CL38" s="53">
        <f>'ГСМ на Газовозы'!H14/1000</f>
        <v>1483.9962999999998</v>
      </c>
      <c r="CM38" s="53">
        <f>'ГСМ на Газовозы'!I14/1000</f>
        <v>2472.2553599999997</v>
      </c>
      <c r="CN38" s="53">
        <f>'ГСМ на Газовозы'!J14/1000</f>
        <v>3090.3192000000004</v>
      </c>
      <c r="CO38" s="93">
        <f t="shared" si="88"/>
        <v>20235.340100000005</v>
      </c>
      <c r="CP38" s="53">
        <f>'ГСМ на Газовозы'!K14/1000</f>
        <v>3090.3192000000004</v>
      </c>
      <c r="CQ38" s="53">
        <f>'ГСМ на Газовозы'!L14/1000</f>
        <v>3090.3192000000004</v>
      </c>
      <c r="CR38" s="53">
        <f>'ГСМ на Газовозы'!M14/1000</f>
        <v>2369.24472</v>
      </c>
      <c r="CS38" s="53">
        <f>'ГСМ на Газовозы'!N14/1000</f>
        <v>2369.24472</v>
      </c>
      <c r="CT38" s="53">
        <f>'ГСМ на Газовозы'!O14/1000</f>
        <v>0</v>
      </c>
      <c r="CU38" s="53">
        <f>'ГСМ на Газовозы'!P14/1000</f>
        <v>349.1756</v>
      </c>
      <c r="CV38" s="53">
        <f>'ГСМ на Газовозы'!Q14/1000</f>
        <v>261.88169999999997</v>
      </c>
      <c r="CW38" s="53">
        <f>'ГСМ на Газовозы'!R14/1000</f>
        <v>960.2328999999999</v>
      </c>
      <c r="CX38" s="53">
        <f>'ГСМ на Газовозы'!G16/1000</f>
        <v>698.3512</v>
      </c>
      <c r="CY38" s="53">
        <f>'ГСМ на Газовозы'!H16/1000</f>
        <v>1571.2902</v>
      </c>
      <c r="CZ38" s="53">
        <f>'ГСМ на Газовозы'!I16/1000</f>
        <v>2369.24472</v>
      </c>
      <c r="DA38" s="53">
        <f>'ГСМ на Газовозы'!J16/1000</f>
        <v>3090.3192000000004</v>
      </c>
      <c r="DB38" s="93">
        <f t="shared" si="80"/>
        <v>20219.623360000005</v>
      </c>
      <c r="DC38" s="53">
        <f>'ГСМ на Газовозы'!K16/1000</f>
        <v>3090.3192000000004</v>
      </c>
      <c r="DD38" s="53">
        <f>'ГСМ на Газовозы'!L16/1000</f>
        <v>3090.3192000000004</v>
      </c>
      <c r="DE38" s="53">
        <f>'ГСМ на Газовозы'!M16/1000</f>
        <v>2369.24472</v>
      </c>
      <c r="DF38" s="53">
        <f>'ГСМ на Газовозы'!N16/1000</f>
        <v>2369.24472</v>
      </c>
      <c r="DG38" s="53">
        <f>'ГСМ на Газовозы'!O16/1000</f>
        <v>0</v>
      </c>
      <c r="DH38" s="53">
        <f>'ГСМ на Газовозы'!P16/1000</f>
        <v>349.1756</v>
      </c>
      <c r="DI38" s="53">
        <f>'ГСМ на Газовозы'!Q16/1000</f>
        <v>261.88169999999997</v>
      </c>
      <c r="DJ38" s="53">
        <f>'ГСМ на Газовозы'!R16/1000</f>
        <v>960.2328999999999</v>
      </c>
      <c r="DK38" s="53">
        <f>'ГСМ на Газовозы'!G18/1000</f>
        <v>698.3512</v>
      </c>
      <c r="DL38" s="53">
        <f>'ГСМ на Газовозы'!H18/1000</f>
        <v>1571.2902</v>
      </c>
      <c r="DM38" s="53">
        <f>'ГСМ на Газовозы'!I18/1000</f>
        <v>2472.2553599999997</v>
      </c>
      <c r="DN38" s="53">
        <f>'ГСМ на Газовозы'!J18/1000</f>
        <v>3090.3192000000004</v>
      </c>
      <c r="DO38" s="93">
        <f t="shared" si="81"/>
        <v>20322.634000000005</v>
      </c>
      <c r="DP38" s="53">
        <f>'ГСМ на Газовозы'!K18/1000</f>
        <v>3090.3192000000004</v>
      </c>
      <c r="DQ38" s="53">
        <f>'ГСМ на Газовозы'!L18/1000</f>
        <v>3090.3192000000004</v>
      </c>
      <c r="DR38" s="53">
        <f>'ГСМ на Газовозы'!M18/1000</f>
        <v>2266.23408</v>
      </c>
      <c r="DS38" s="53">
        <f>'ГСМ на Газовозы'!N18/1000</f>
        <v>2369.24472</v>
      </c>
      <c r="DT38" s="53">
        <f>'ГСМ на Газовозы'!O18/1000</f>
        <v>0</v>
      </c>
      <c r="DU38" s="53">
        <f>'ГСМ на Газовозы'!P18/1000</f>
        <v>349.1756</v>
      </c>
      <c r="DV38" s="53">
        <f>'ГСМ на Газовозы'!Q18/1000</f>
        <v>349.1756</v>
      </c>
      <c r="DW38" s="53">
        <f>'ГСМ на Газовозы'!R18/1000</f>
        <v>872.939</v>
      </c>
      <c r="DX38" s="53">
        <f>'ГСМ на Газовозы'!G20/1000</f>
        <v>698.3512</v>
      </c>
      <c r="DY38" s="53">
        <f>'ГСМ на Газовозы'!H20/1000</f>
        <v>1571.2902</v>
      </c>
      <c r="DZ38" s="53">
        <f>'ГСМ на Газовозы'!I20/1000</f>
        <v>2472.2553599999997</v>
      </c>
      <c r="EA38" s="53">
        <f>'ГСМ на Газовозы'!J20/1000</f>
        <v>3090.3192000000004</v>
      </c>
      <c r="EB38" s="93">
        <f t="shared" si="82"/>
        <v>20219.623360000005</v>
      </c>
      <c r="EC38" s="53">
        <f>'ГСМ на Газовозы'!K20/1000</f>
        <v>3090.3192000000004</v>
      </c>
      <c r="ED38" s="53">
        <f>'ГСМ на Газовозы'!L20/1000</f>
        <v>3090.3192000000004</v>
      </c>
      <c r="EE38" s="53">
        <f>'ГСМ на Газовозы'!M20/1000</f>
        <v>2266.23408</v>
      </c>
      <c r="EF38" s="53">
        <f>'ГСМ на Газовозы'!N20/1000</f>
        <v>2369.24472</v>
      </c>
      <c r="EG38" s="53">
        <f>'ГСМ на Газовозы'!O20/1000</f>
        <v>0</v>
      </c>
      <c r="EH38" s="53">
        <f>'ГСМ на Газовозы'!P20/1000</f>
        <v>349.1756</v>
      </c>
      <c r="EI38" s="53">
        <f>'ГСМ на Газовозы'!Q20/1000</f>
        <v>349.1756</v>
      </c>
      <c r="EJ38" s="53">
        <f>'ГСМ на Газовозы'!R20/1000</f>
        <v>960.2328999999999</v>
      </c>
      <c r="EK38" s="53">
        <f>'ГСМ на Газовозы'!G22/1000</f>
        <v>611.0572999999999</v>
      </c>
      <c r="EL38" s="53">
        <f>'ГСМ на Газовозы'!H22/1000</f>
        <v>1571.2902</v>
      </c>
      <c r="EM38" s="53">
        <f>'ГСМ на Газовозы'!I22/1000</f>
        <v>2472.2553599999997</v>
      </c>
      <c r="EN38" s="53">
        <f>'ГСМ на Газовозы'!J22/1000</f>
        <v>3090.3192000000004</v>
      </c>
      <c r="EO38" s="93">
        <f t="shared" si="83"/>
        <v>20219.623360000005</v>
      </c>
      <c r="EP38" s="53">
        <f>'ГСМ на Газовозы'!K22/1000</f>
        <v>3090.3192000000004</v>
      </c>
      <c r="EQ38" s="53">
        <f>'ГСМ на Газовозы'!L22/1000</f>
        <v>3090.3192000000004</v>
      </c>
      <c r="ER38" s="53">
        <f>'ГСМ на Газовозы'!M22/1000</f>
        <v>2369.24472</v>
      </c>
      <c r="ES38" s="53">
        <f>'ГСМ на Газовозы'!N22/1000</f>
        <v>2369.24472</v>
      </c>
      <c r="ET38" s="53">
        <f>'ГСМ на Газовозы'!O22/1000</f>
        <v>0</v>
      </c>
      <c r="EU38" s="53">
        <f>'ГСМ на Газовозы'!P22/1000</f>
        <v>261.88169999999997</v>
      </c>
      <c r="EV38" s="53">
        <f>'ГСМ на Газовозы'!Q22/1000</f>
        <v>349.1756</v>
      </c>
      <c r="EW38" s="53">
        <f>'ГСМ на Газовозы'!R22/1000</f>
        <v>960.2328999999999</v>
      </c>
      <c r="EX38" s="53">
        <f>'ГСМ на Газовозы'!G24/1000</f>
        <v>611.0572999999999</v>
      </c>
      <c r="EY38" s="53">
        <f>'ГСМ на Газовозы'!H24/1000</f>
        <v>1571.2902</v>
      </c>
      <c r="EZ38" s="53">
        <f>'ГСМ на Газовозы'!I24/1000</f>
        <v>2472.2553599999997</v>
      </c>
      <c r="FA38" s="53">
        <f>'ГСМ на Газовозы'!J24/1000</f>
        <v>3090.3192000000004</v>
      </c>
      <c r="FB38" s="93">
        <f t="shared" si="84"/>
        <v>20235.340100000005</v>
      </c>
      <c r="FC38" s="53">
        <f>'ГСМ на Газовозы'!K24/1000</f>
        <v>3090.3192000000004</v>
      </c>
      <c r="FD38" s="53">
        <f>'ГСМ на Газовозы'!L24/1000</f>
        <v>3090.3192000000004</v>
      </c>
      <c r="FE38" s="53">
        <f>'ГСМ на Газовозы'!M24/1000</f>
        <v>2369.24472</v>
      </c>
      <c r="FF38" s="53">
        <f>'ГСМ на Газовозы'!N24/1000</f>
        <v>2369.24472</v>
      </c>
      <c r="FG38" s="53">
        <f>'ГСМ на Газовозы'!O24/1000</f>
        <v>0</v>
      </c>
      <c r="FH38" s="53">
        <f>'ГСМ на Газовозы'!P24/1000</f>
        <v>261.88169999999997</v>
      </c>
      <c r="FI38" s="53">
        <f>'ГСМ на Газовозы'!Q24/1000</f>
        <v>349.1756</v>
      </c>
      <c r="FJ38" s="53">
        <f>'ГСМ на Газовозы'!R24/1000</f>
        <v>960.2328999999999</v>
      </c>
      <c r="FK38" s="53">
        <f>'ГСМ на Газовозы'!G26/1000</f>
        <v>698.3512</v>
      </c>
      <c r="FL38" s="53">
        <f>'ГСМ на Газовозы'!H26/1000</f>
        <v>1483.9962999999998</v>
      </c>
      <c r="FM38" s="53">
        <f>'ГСМ на Газовозы'!I26/1000</f>
        <v>2472.2553599999997</v>
      </c>
      <c r="FN38" s="53">
        <f>'ГСМ на Газовозы'!J26/1000</f>
        <v>3090.3192000000004</v>
      </c>
      <c r="FO38" s="93">
        <f t="shared" si="85"/>
        <v>20235.340100000005</v>
      </c>
      <c r="FP38" s="53">
        <f>'ГСМ на Газовозы'!K26/1000</f>
        <v>3090.3192000000004</v>
      </c>
      <c r="FQ38" s="53">
        <f>'ГСМ на Газовозы'!L26/1000</f>
        <v>3090.3192000000004</v>
      </c>
      <c r="FR38" s="53">
        <f>'ГСМ на Газовозы'!M26/1000</f>
        <v>2369.24472</v>
      </c>
      <c r="FS38" s="53">
        <f>'ГСМ на Газовозы'!N26/1000</f>
        <v>2369.24472</v>
      </c>
      <c r="FT38" s="53">
        <f>'ГСМ на Газовозы'!O26/1000</f>
        <v>0</v>
      </c>
      <c r="FU38" s="53">
        <f>'ГСМ на Газовозы'!P26/1000</f>
        <v>349.1756</v>
      </c>
      <c r="FV38" s="53">
        <f>'ГСМ на Газовозы'!Q26/1000</f>
        <v>261.88169999999997</v>
      </c>
      <c r="FW38" s="53">
        <f>'ГСМ на Газовозы'!R26/1000</f>
        <v>960.2328999999999</v>
      </c>
      <c r="FX38" s="53">
        <f>'ГСМ на Газовозы'!G28/1000</f>
        <v>698.3512</v>
      </c>
      <c r="FY38" s="53">
        <f>'ГСМ на Газовозы'!H28/1000</f>
        <v>1571.2902</v>
      </c>
      <c r="FZ38" s="53">
        <f>'ГСМ на Газовозы'!I28/1000</f>
        <v>2369.24472</v>
      </c>
      <c r="GA38" s="53">
        <f>'ГСМ на Газовозы'!J28/1000</f>
        <v>3090.3192000000004</v>
      </c>
      <c r="GB38" s="93">
        <f t="shared" si="86"/>
        <v>20219.623360000005</v>
      </c>
      <c r="GC38" s="53">
        <f>'ГСМ на Газовозы'!K28/1000</f>
        <v>3090.3192000000004</v>
      </c>
      <c r="GD38" s="53">
        <f>'ГСМ на Газовозы'!L28/1000</f>
        <v>3090.3192000000004</v>
      </c>
      <c r="GE38" s="53">
        <f>'ГСМ на Газовозы'!M28/1000</f>
        <v>2369.24472</v>
      </c>
      <c r="GF38" s="53">
        <f>'ГСМ на Газовозы'!N28/1000</f>
        <v>2369.24472</v>
      </c>
      <c r="GG38" s="53">
        <f>'ГСМ на Газовозы'!O28/1000</f>
        <v>0</v>
      </c>
      <c r="GH38" s="53">
        <f>'ГСМ на Газовозы'!P28/1000</f>
        <v>349.1756</v>
      </c>
      <c r="GI38" s="53">
        <f>'ГСМ на Газовозы'!Q28/1000</f>
        <v>349.1756</v>
      </c>
      <c r="GJ38" s="53">
        <f>'ГСМ на Газовозы'!R28/1000</f>
        <v>872.939</v>
      </c>
      <c r="GK38" s="53">
        <f>'ГСМ на Газовозы'!G30/1000</f>
        <v>698.3512</v>
      </c>
      <c r="GL38" s="53">
        <f>'ГСМ на Газовозы'!H30/1000</f>
        <v>1571.2902</v>
      </c>
      <c r="GM38" s="53">
        <f>'ГСМ на Газовозы'!I30/1000</f>
        <v>2472.2553599999997</v>
      </c>
      <c r="GN38" s="53">
        <f>'ГСМ на Газовозы'!J30/1000</f>
        <v>3090.3192000000004</v>
      </c>
      <c r="GO38" s="93">
        <f t="shared" si="16"/>
        <v>20322.634000000005</v>
      </c>
      <c r="GP38" s="53">
        <f>'ГСМ на Газовозы'!K30/1000</f>
        <v>3090.3192000000004</v>
      </c>
      <c r="GQ38" s="53">
        <f>'ГСМ на Газовозы'!L30/1000</f>
        <v>3090.3192000000004</v>
      </c>
      <c r="GR38" s="53">
        <f>'ГСМ на Газовозы'!M30/1000</f>
        <v>2266.23408</v>
      </c>
      <c r="GS38" s="53">
        <f>'ГСМ на Газовозы'!N30/1000</f>
        <v>2369.24472</v>
      </c>
      <c r="GT38" s="53">
        <f>'ГСМ на Газовозы'!O30/1000</f>
        <v>0</v>
      </c>
      <c r="GU38" s="53">
        <f>'ГСМ на Газовозы'!P30/1000</f>
        <v>349.1756</v>
      </c>
      <c r="GV38" s="53">
        <f>'ГСМ на Газовозы'!Q30/1000</f>
        <v>349.1756</v>
      </c>
      <c r="GW38" s="53">
        <f>'ГСМ на Газовозы'!R30/1000</f>
        <v>872.939</v>
      </c>
      <c r="GX38" s="53">
        <f>'ГСМ на Газовозы'!G30/1000</f>
        <v>698.3512</v>
      </c>
      <c r="GY38" s="53">
        <f>'ГСМ на Газовозы'!H30/1000</f>
        <v>1571.2902</v>
      </c>
      <c r="GZ38" s="53">
        <f>'ГСМ на Газовозы'!I30/1000</f>
        <v>2472.2553599999997</v>
      </c>
      <c r="HA38" s="53">
        <f>'ГСМ на Газовозы'!J30/1000</f>
        <v>3090.3192000000004</v>
      </c>
      <c r="HB38" s="93">
        <f t="shared" si="87"/>
        <v>20219.623360000005</v>
      </c>
      <c r="HC38" s="49">
        <f t="shared" si="19"/>
        <v>261041.05584000002</v>
      </c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95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95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95"/>
      <c r="IP38" s="53"/>
      <c r="IQ38" s="53"/>
      <c r="IR38" s="53"/>
      <c r="IS38" s="53"/>
      <c r="IT38" s="53"/>
      <c r="IU38" s="53"/>
      <c r="IV38" s="53"/>
    </row>
    <row r="39" spans="1:256" s="56" customFormat="1" ht="14.25" outlineLevel="2">
      <c r="A39" s="30"/>
      <c r="B39" s="98" t="s">
        <v>399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95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95"/>
      <c r="AC39" s="53"/>
      <c r="AD39" s="53"/>
      <c r="AE39" s="53"/>
      <c r="AF39" s="53"/>
      <c r="AG39" s="53"/>
      <c r="AH39" s="53"/>
      <c r="AI39" s="53"/>
      <c r="AJ39" s="53"/>
      <c r="AK39" s="53">
        <v>125.4162</v>
      </c>
      <c r="AL39" s="53">
        <v>125.4162</v>
      </c>
      <c r="AM39" s="53">
        <v>125.4162</v>
      </c>
      <c r="AN39" s="53">
        <v>125.4162</v>
      </c>
      <c r="AO39" s="93">
        <f t="shared" si="0"/>
        <v>501.6648</v>
      </c>
      <c r="AP39" s="53">
        <v>125.4162</v>
      </c>
      <c r="AQ39" s="53">
        <v>125.4162</v>
      </c>
      <c r="AR39" s="53">
        <v>125.4162</v>
      </c>
      <c r="AS39" s="53">
        <v>125.4162</v>
      </c>
      <c r="AT39" s="53">
        <v>125.4162</v>
      </c>
      <c r="AU39" s="53">
        <v>125.4162</v>
      </c>
      <c r="AV39" s="53">
        <v>125.4162</v>
      </c>
      <c r="AW39" s="53">
        <v>125.4162</v>
      </c>
      <c r="AX39" s="53">
        <v>188.1243</v>
      </c>
      <c r="AY39" s="53">
        <v>188.1243</v>
      </c>
      <c r="AZ39" s="53">
        <v>188.1243</v>
      </c>
      <c r="BA39" s="53">
        <v>188.1243</v>
      </c>
      <c r="BB39" s="93">
        <f t="shared" si="2"/>
        <v>1755.8268000000007</v>
      </c>
      <c r="BC39" s="53">
        <v>188.1243</v>
      </c>
      <c r="BD39" s="53">
        <v>188.1243</v>
      </c>
      <c r="BE39" s="53">
        <v>188.1243</v>
      </c>
      <c r="BF39" s="53">
        <v>188.1243</v>
      </c>
      <c r="BG39" s="53">
        <v>188.1243</v>
      </c>
      <c r="BH39" s="53">
        <v>188.1243</v>
      </c>
      <c r="BI39" s="53">
        <v>188.1243</v>
      </c>
      <c r="BJ39" s="53">
        <v>188.1243</v>
      </c>
      <c r="BK39" s="53">
        <v>188.1243</v>
      </c>
      <c r="BL39" s="53">
        <v>188.1243</v>
      </c>
      <c r="BM39" s="53">
        <v>188.1243</v>
      </c>
      <c r="BN39" s="53">
        <v>188.1243</v>
      </c>
      <c r="BO39" s="93">
        <f t="shared" si="4"/>
        <v>2257.4916</v>
      </c>
      <c r="BP39" s="53">
        <v>188.1243</v>
      </c>
      <c r="BQ39" s="53">
        <v>188.1243</v>
      </c>
      <c r="BR39" s="53">
        <v>188.1243</v>
      </c>
      <c r="BS39" s="53">
        <v>188.1243</v>
      </c>
      <c r="BT39" s="53">
        <v>188.1243</v>
      </c>
      <c r="BU39" s="53">
        <v>188.1243</v>
      </c>
      <c r="BV39" s="53">
        <v>188.1243</v>
      </c>
      <c r="BW39" s="53">
        <v>188.1243</v>
      </c>
      <c r="BX39" s="53">
        <v>188.1243</v>
      </c>
      <c r="BY39" s="53">
        <v>188.1243</v>
      </c>
      <c r="BZ39" s="53">
        <v>188.1243</v>
      </c>
      <c r="CA39" s="53">
        <v>188.1243</v>
      </c>
      <c r="CB39" s="93">
        <f t="shared" si="79"/>
        <v>2257.4916</v>
      </c>
      <c r="CC39" s="53">
        <v>188.1243</v>
      </c>
      <c r="CD39" s="53">
        <v>188.1243</v>
      </c>
      <c r="CE39" s="53">
        <v>188.1243</v>
      </c>
      <c r="CF39" s="53">
        <v>188.1243</v>
      </c>
      <c r="CG39" s="53">
        <v>188.1243</v>
      </c>
      <c r="CH39" s="53">
        <v>188.1243</v>
      </c>
      <c r="CI39" s="53">
        <v>188.1243</v>
      </c>
      <c r="CJ39" s="53">
        <v>188.1243</v>
      </c>
      <c r="CK39" s="53">
        <v>188.1243</v>
      </c>
      <c r="CL39" s="53">
        <v>188.1243</v>
      </c>
      <c r="CM39" s="53">
        <v>188.1243</v>
      </c>
      <c r="CN39" s="53">
        <v>188.1243</v>
      </c>
      <c r="CO39" s="93">
        <f t="shared" si="88"/>
        <v>2257.4916</v>
      </c>
      <c r="CP39" s="53">
        <v>188.1243</v>
      </c>
      <c r="CQ39" s="53">
        <v>188.1243</v>
      </c>
      <c r="CR39" s="53">
        <v>188.1243</v>
      </c>
      <c r="CS39" s="53">
        <v>188.1243</v>
      </c>
      <c r="CT39" s="53">
        <v>188.1243</v>
      </c>
      <c r="CU39" s="53">
        <v>188.1243</v>
      </c>
      <c r="CV39" s="53">
        <v>188.1243</v>
      </c>
      <c r="CW39" s="53">
        <v>188.1243</v>
      </c>
      <c r="CX39" s="53">
        <v>188.1243</v>
      </c>
      <c r="CY39" s="53">
        <v>188.1243</v>
      </c>
      <c r="CZ39" s="53">
        <v>188.1243</v>
      </c>
      <c r="DA39" s="53">
        <v>188.1243</v>
      </c>
      <c r="DB39" s="93">
        <f t="shared" si="80"/>
        <v>2257.4916</v>
      </c>
      <c r="DC39" s="53">
        <v>188.1243</v>
      </c>
      <c r="DD39" s="53">
        <v>188.1243</v>
      </c>
      <c r="DE39" s="53">
        <v>188.1243</v>
      </c>
      <c r="DF39" s="53">
        <v>188.1243</v>
      </c>
      <c r="DG39" s="53">
        <v>188.1243</v>
      </c>
      <c r="DH39" s="53">
        <v>188.1243</v>
      </c>
      <c r="DI39" s="53">
        <v>188.1243</v>
      </c>
      <c r="DJ39" s="53">
        <v>188.1243</v>
      </c>
      <c r="DK39" s="53">
        <v>188.1243</v>
      </c>
      <c r="DL39" s="53">
        <v>188.1243</v>
      </c>
      <c r="DM39" s="53">
        <v>188.1243</v>
      </c>
      <c r="DN39" s="53">
        <v>188.1243</v>
      </c>
      <c r="DO39" s="93">
        <f t="shared" si="81"/>
        <v>2257.4916</v>
      </c>
      <c r="DP39" s="53">
        <v>188.1243</v>
      </c>
      <c r="DQ39" s="53">
        <v>188.1243</v>
      </c>
      <c r="DR39" s="53">
        <v>188.1243</v>
      </c>
      <c r="DS39" s="53">
        <v>188.1243</v>
      </c>
      <c r="DT39" s="53">
        <v>188.1243</v>
      </c>
      <c r="DU39" s="53">
        <v>188.1243</v>
      </c>
      <c r="DV39" s="53">
        <v>188.1243</v>
      </c>
      <c r="DW39" s="53">
        <v>188.1243</v>
      </c>
      <c r="DX39" s="53">
        <v>188.1243</v>
      </c>
      <c r="DY39" s="53">
        <v>188.1243</v>
      </c>
      <c r="DZ39" s="53">
        <v>188.1243</v>
      </c>
      <c r="EA39" s="53">
        <v>188.1243</v>
      </c>
      <c r="EB39" s="93">
        <f t="shared" si="82"/>
        <v>2257.4916</v>
      </c>
      <c r="EC39" s="53">
        <v>188.1243</v>
      </c>
      <c r="ED39" s="53">
        <v>188.1243</v>
      </c>
      <c r="EE39" s="53">
        <v>188.1243</v>
      </c>
      <c r="EF39" s="53">
        <v>188.1243</v>
      </c>
      <c r="EG39" s="53">
        <v>188.1243</v>
      </c>
      <c r="EH39" s="53">
        <v>188.1243</v>
      </c>
      <c r="EI39" s="53">
        <v>188.1243</v>
      </c>
      <c r="EJ39" s="53">
        <v>188.1243</v>
      </c>
      <c r="EK39" s="53">
        <v>188.1243</v>
      </c>
      <c r="EL39" s="53">
        <v>188.1243</v>
      </c>
      <c r="EM39" s="53">
        <v>188.1243</v>
      </c>
      <c r="EN39" s="53">
        <v>188.1243</v>
      </c>
      <c r="EO39" s="93">
        <f t="shared" si="83"/>
        <v>2257.4916</v>
      </c>
      <c r="EP39" s="53">
        <v>188.1243</v>
      </c>
      <c r="EQ39" s="53">
        <v>188.1243</v>
      </c>
      <c r="ER39" s="53">
        <v>188.1243</v>
      </c>
      <c r="ES39" s="53">
        <v>188.1243</v>
      </c>
      <c r="ET39" s="53">
        <v>188.1243</v>
      </c>
      <c r="EU39" s="53">
        <v>188.1243</v>
      </c>
      <c r="EV39" s="53">
        <v>188.1243</v>
      </c>
      <c r="EW39" s="53">
        <v>188.1243</v>
      </c>
      <c r="EX39" s="53">
        <v>188.1243</v>
      </c>
      <c r="EY39" s="53">
        <v>188.1243</v>
      </c>
      <c r="EZ39" s="53">
        <v>188.1243</v>
      </c>
      <c r="FA39" s="53">
        <v>188.1243</v>
      </c>
      <c r="FB39" s="93">
        <f t="shared" si="84"/>
        <v>2257.4916</v>
      </c>
      <c r="FC39" s="53">
        <v>188.1243</v>
      </c>
      <c r="FD39" s="53">
        <v>188.1243</v>
      </c>
      <c r="FE39" s="53">
        <v>188.1243</v>
      </c>
      <c r="FF39" s="53">
        <v>188.1243</v>
      </c>
      <c r="FG39" s="53">
        <v>188.1243</v>
      </c>
      <c r="FH39" s="53">
        <v>188.1243</v>
      </c>
      <c r="FI39" s="53">
        <v>188.1243</v>
      </c>
      <c r="FJ39" s="53">
        <v>188.1243</v>
      </c>
      <c r="FK39" s="53">
        <v>188.1243</v>
      </c>
      <c r="FL39" s="53">
        <v>188.1243</v>
      </c>
      <c r="FM39" s="53">
        <v>188.1243</v>
      </c>
      <c r="FN39" s="53">
        <v>188.1243</v>
      </c>
      <c r="FO39" s="93">
        <f t="shared" si="85"/>
        <v>2257.4916</v>
      </c>
      <c r="FP39" s="53">
        <v>188.1243</v>
      </c>
      <c r="FQ39" s="53">
        <v>188.1243</v>
      </c>
      <c r="FR39" s="53">
        <v>188.1243</v>
      </c>
      <c r="FS39" s="53">
        <v>188.1243</v>
      </c>
      <c r="FT39" s="53">
        <v>188.1243</v>
      </c>
      <c r="FU39" s="53">
        <v>188.1243</v>
      </c>
      <c r="FV39" s="53">
        <v>188.1243</v>
      </c>
      <c r="FW39" s="53">
        <v>188.1243</v>
      </c>
      <c r="FX39" s="53">
        <v>188.1243</v>
      </c>
      <c r="FY39" s="53">
        <v>188.1243</v>
      </c>
      <c r="FZ39" s="53">
        <v>188.1243</v>
      </c>
      <c r="GA39" s="53">
        <v>188.1243</v>
      </c>
      <c r="GB39" s="93">
        <f t="shared" si="86"/>
        <v>2257.4916</v>
      </c>
      <c r="GC39" s="53">
        <v>188.1243</v>
      </c>
      <c r="GD39" s="53">
        <v>188.1243</v>
      </c>
      <c r="GE39" s="53">
        <v>188.1243</v>
      </c>
      <c r="GF39" s="53">
        <v>188.1243</v>
      </c>
      <c r="GG39" s="53">
        <v>188.1243</v>
      </c>
      <c r="GH39" s="53">
        <v>188.1243</v>
      </c>
      <c r="GI39" s="53">
        <v>188.1243</v>
      </c>
      <c r="GJ39" s="53">
        <v>188.1243</v>
      </c>
      <c r="GK39" s="53">
        <v>188.1243</v>
      </c>
      <c r="GL39" s="53">
        <v>188.1243</v>
      </c>
      <c r="GM39" s="53">
        <v>188.1243</v>
      </c>
      <c r="GN39" s="53">
        <v>188.1243</v>
      </c>
      <c r="GO39" s="93">
        <f t="shared" si="16"/>
        <v>2257.4916</v>
      </c>
      <c r="GP39" s="53">
        <v>188.1243</v>
      </c>
      <c r="GQ39" s="53">
        <v>188.1243</v>
      </c>
      <c r="GR39" s="53">
        <v>188.1243</v>
      </c>
      <c r="GS39" s="53">
        <v>188.1243</v>
      </c>
      <c r="GT39" s="53">
        <v>188.1243</v>
      </c>
      <c r="GU39" s="53">
        <v>188.1243</v>
      </c>
      <c r="GV39" s="53">
        <v>188.1243</v>
      </c>
      <c r="GW39" s="53">
        <v>188.1243</v>
      </c>
      <c r="GX39" s="53">
        <v>188.1243</v>
      </c>
      <c r="GY39" s="53">
        <v>188.1243</v>
      </c>
      <c r="GZ39" s="53">
        <v>188.1243</v>
      </c>
      <c r="HA39" s="53">
        <v>188.1243</v>
      </c>
      <c r="HB39" s="93">
        <f t="shared" si="87"/>
        <v>2257.4916</v>
      </c>
      <c r="HC39" s="49">
        <f t="shared" si="19"/>
        <v>29347.3908</v>
      </c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95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95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95"/>
      <c r="IP39" s="53"/>
      <c r="IQ39" s="53"/>
      <c r="IR39" s="53"/>
      <c r="IS39" s="53"/>
      <c r="IT39" s="53"/>
      <c r="IU39" s="53"/>
      <c r="IV39" s="53"/>
    </row>
    <row r="40" spans="1:256" s="56" customFormat="1" ht="14.25" outlineLevel="2">
      <c r="A40" s="30"/>
      <c r="B40" s="98" t="s">
        <v>395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95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95"/>
      <c r="AC40" s="53"/>
      <c r="AD40" s="53"/>
      <c r="AE40" s="53"/>
      <c r="AF40" s="53"/>
      <c r="AG40" s="53"/>
      <c r="AH40" s="53"/>
      <c r="AI40" s="53"/>
      <c r="AJ40" s="53"/>
      <c r="AK40" s="53">
        <f>'Износ шин'!G6/1000</f>
        <v>81.02976000000001</v>
      </c>
      <c r="AL40" s="53">
        <f>'Износ шин'!H6/1000</f>
        <v>92.60544</v>
      </c>
      <c r="AM40" s="53">
        <f>'Износ шин'!I6/1000</f>
        <v>115.7568</v>
      </c>
      <c r="AN40" s="53">
        <f>'Износ шин'!J6/1000</f>
        <v>173.6352</v>
      </c>
      <c r="AO40" s="93">
        <f t="shared" si="0"/>
        <v>463.0272</v>
      </c>
      <c r="AP40" s="53">
        <f>'Износ шин'!K6/1000</f>
        <v>231.5136</v>
      </c>
      <c r="AQ40" s="53">
        <f>'Износ шин'!L6/1000</f>
        <v>162.05952000000002</v>
      </c>
      <c r="AR40" s="53">
        <f>'Износ шин'!M6/1000</f>
        <v>92.60544</v>
      </c>
      <c r="AS40" s="53">
        <f>'Износ шин'!N6/1000</f>
        <v>127.33248</v>
      </c>
      <c r="AT40" s="53">
        <f>'Износ шин'!O6/1000</f>
        <v>0</v>
      </c>
      <c r="AU40" s="53">
        <f>'Износ шин'!P6/1000</f>
        <v>11.57568</v>
      </c>
      <c r="AV40" s="53">
        <f>'Износ шин'!Q6/1000</f>
        <v>23.15136</v>
      </c>
      <c r="AW40" s="53">
        <f>'Износ шин'!R6/1000</f>
        <v>46.30272</v>
      </c>
      <c r="AX40" s="53">
        <f>'Износ шин'!G8/1000</f>
        <v>138.90816</v>
      </c>
      <c r="AY40" s="53">
        <f>'Износ шин'!H8/1000</f>
        <v>208.36223999999999</v>
      </c>
      <c r="AZ40" s="53">
        <f>'Износ шин'!I8/1000</f>
        <v>277.81632</v>
      </c>
      <c r="BA40" s="53">
        <f>'Износ шин'!J8/1000</f>
        <v>347.2704</v>
      </c>
      <c r="BB40" s="93">
        <f t="shared" si="2"/>
        <v>1666.8979199999999</v>
      </c>
      <c r="BC40" s="53">
        <f>'Износ шин'!K8/1000</f>
        <v>347.2704</v>
      </c>
      <c r="BD40" s="53">
        <f>'Износ шин'!L8/1000</f>
        <v>347.2704</v>
      </c>
      <c r="BE40" s="53">
        <f>'Износ шин'!M8/1000</f>
        <v>254.66496</v>
      </c>
      <c r="BF40" s="53">
        <f>'Износ шин'!N8/1000</f>
        <v>266.24064000000004</v>
      </c>
      <c r="BG40" s="53">
        <f>'Износ шин'!O8/1000</f>
        <v>0</v>
      </c>
      <c r="BH40" s="53">
        <f>'Износ шин'!P8/1000</f>
        <v>46.30272</v>
      </c>
      <c r="BI40" s="53">
        <f>'Износ шин'!Q8/1000</f>
        <v>46.30272</v>
      </c>
      <c r="BJ40" s="53">
        <f>'Износ шин'!R8/1000</f>
        <v>115.7568</v>
      </c>
      <c r="BK40" s="53">
        <f>'Износ шин'!G10/1000</f>
        <v>92.60544</v>
      </c>
      <c r="BL40" s="53">
        <f>'Износ шин'!H10/1000</f>
        <v>208.36223999999999</v>
      </c>
      <c r="BM40" s="53">
        <f>'Износ шин'!I10/1000</f>
        <v>277.81632</v>
      </c>
      <c r="BN40" s="53">
        <f>'Износ шин'!J10/1000</f>
        <v>347.2704</v>
      </c>
      <c r="BO40" s="93">
        <f t="shared" si="4"/>
        <v>2349.8630399999997</v>
      </c>
      <c r="BP40" s="53">
        <f>'Износ шин'!K10/1000</f>
        <v>347.2704</v>
      </c>
      <c r="BQ40" s="53">
        <f>'Износ шин'!L10/1000</f>
        <v>347.2704</v>
      </c>
      <c r="BR40" s="53">
        <f>'Износ шин'!M10/1000</f>
        <v>266.24064000000004</v>
      </c>
      <c r="BS40" s="53">
        <f>'Износ шин'!N10/1000</f>
        <v>266.24064000000004</v>
      </c>
      <c r="BT40" s="53">
        <f>'Износ шин'!O10/1000</f>
        <v>0</v>
      </c>
      <c r="BU40" s="53">
        <f>'Износ шин'!P10/1000</f>
        <v>34.72704</v>
      </c>
      <c r="BV40" s="53">
        <f>'Износ шин'!Q10/1000</f>
        <v>46.30272</v>
      </c>
      <c r="BW40" s="53">
        <f>'Износ шин'!R10/1000</f>
        <v>127.33248</v>
      </c>
      <c r="BX40" s="53">
        <f>'Износ шин'!G12/1000</f>
        <v>81.02976000000001</v>
      </c>
      <c r="BY40" s="53">
        <f>'Износ шин'!H12/1000</f>
        <v>208.36223999999999</v>
      </c>
      <c r="BZ40" s="53">
        <f>'Износ шин'!I12/1000</f>
        <v>277.81632</v>
      </c>
      <c r="CA40" s="53">
        <f>'Износ шин'!J12/1000</f>
        <v>347.2704</v>
      </c>
      <c r="CB40" s="93">
        <f t="shared" si="79"/>
        <v>2349.8630399999997</v>
      </c>
      <c r="CC40" s="53">
        <f>'Износ шин'!K12/1000</f>
        <v>347.2704</v>
      </c>
      <c r="CD40" s="53">
        <f>'Износ шин'!L12/1000</f>
        <v>347.2704</v>
      </c>
      <c r="CE40" s="53">
        <f>'Износ шин'!M12/1000</f>
        <v>266.24064000000004</v>
      </c>
      <c r="CF40" s="53">
        <f>'Износ шин'!N12/1000</f>
        <v>266.24064000000004</v>
      </c>
      <c r="CG40" s="53">
        <f>'Износ шин'!O12/1000</f>
        <v>0</v>
      </c>
      <c r="CH40" s="53">
        <f>'Износ шин'!P12/1000</f>
        <v>34.72704</v>
      </c>
      <c r="CI40" s="53">
        <f>'Износ шин'!Q12/1000</f>
        <v>46.30272</v>
      </c>
      <c r="CJ40" s="53">
        <f>'Износ шин'!R12/1000</f>
        <v>127.33248</v>
      </c>
      <c r="CK40" s="53">
        <f>'Износ шин'!G14/1000</f>
        <v>92.60544</v>
      </c>
      <c r="CL40" s="53">
        <f>'Износ шин'!H14/1000</f>
        <v>196.78656</v>
      </c>
      <c r="CM40" s="53">
        <f>'Износ шин'!I14/1000</f>
        <v>277.81632</v>
      </c>
      <c r="CN40" s="53">
        <f>'Износ шин'!J14/1000</f>
        <v>347.2704</v>
      </c>
      <c r="CO40" s="93">
        <f t="shared" si="88"/>
        <v>2349.8630399999997</v>
      </c>
      <c r="CP40" s="53">
        <f>'Износ шин'!K14/1000</f>
        <v>347.2704</v>
      </c>
      <c r="CQ40" s="53">
        <f>'Износ шин'!L14/1000</f>
        <v>347.2704</v>
      </c>
      <c r="CR40" s="53">
        <f>'Износ шин'!M14/1000</f>
        <v>266.24064000000004</v>
      </c>
      <c r="CS40" s="53">
        <f>'Износ шин'!N14/1000</f>
        <v>266.24064000000004</v>
      </c>
      <c r="CT40" s="53">
        <f>'Износ шин'!O14/1000</f>
        <v>0</v>
      </c>
      <c r="CU40" s="53">
        <f>'Износ шин'!P14/1000</f>
        <v>46.30272</v>
      </c>
      <c r="CV40" s="53">
        <f>'Износ шин'!Q14/1000</f>
        <v>34.72704</v>
      </c>
      <c r="CW40" s="53">
        <f>'Износ шин'!R14/1000</f>
        <v>127.33248</v>
      </c>
      <c r="CX40" s="53">
        <f>'Износ шин'!G16/1000</f>
        <v>92.60544</v>
      </c>
      <c r="CY40" s="53">
        <f>'Износ шин'!H16/1000</f>
        <v>208.36223999999999</v>
      </c>
      <c r="CZ40" s="53">
        <f>'Износ шин'!I16/1000</f>
        <v>266.24064000000004</v>
      </c>
      <c r="DA40" s="53">
        <f>'Износ шин'!J16/1000</f>
        <v>347.2704</v>
      </c>
      <c r="DB40" s="93">
        <f t="shared" si="80"/>
        <v>2349.8630399999997</v>
      </c>
      <c r="DC40" s="53">
        <f>'Износ шин'!K16/1000</f>
        <v>347.2704</v>
      </c>
      <c r="DD40" s="53">
        <f>'Износ шин'!L16/1000</f>
        <v>347.2704</v>
      </c>
      <c r="DE40" s="53">
        <f>'Износ шин'!M16/1000</f>
        <v>266.24064000000004</v>
      </c>
      <c r="DF40" s="53">
        <f>'Износ шин'!N16/1000</f>
        <v>266.24064000000004</v>
      </c>
      <c r="DG40" s="53">
        <f>'Износ шин'!O16/1000</f>
        <v>0</v>
      </c>
      <c r="DH40" s="53">
        <f>'Износ шин'!P16/1000</f>
        <v>46.30272</v>
      </c>
      <c r="DI40" s="53">
        <f>'Износ шин'!Q16/1000</f>
        <v>34.72704</v>
      </c>
      <c r="DJ40" s="53">
        <f>'Износ шин'!R16/1000</f>
        <v>127.33248</v>
      </c>
      <c r="DK40" s="53">
        <f>'Износ шин'!G18/1000</f>
        <v>92.60544</v>
      </c>
      <c r="DL40" s="53">
        <f>'Износ шин'!H18/1000</f>
        <v>208.36223999999999</v>
      </c>
      <c r="DM40" s="53">
        <f>'Износ шин'!I18/1000</f>
        <v>277.81632</v>
      </c>
      <c r="DN40" s="53">
        <f>'Износ шин'!J18/1000</f>
        <v>347.2704</v>
      </c>
      <c r="DO40" s="93">
        <f t="shared" si="81"/>
        <v>2361.4387199999996</v>
      </c>
      <c r="DP40" s="53">
        <f>'Износ шин'!K18/1000</f>
        <v>347.2704</v>
      </c>
      <c r="DQ40" s="53">
        <f>'Износ шин'!L18/1000</f>
        <v>347.2704</v>
      </c>
      <c r="DR40" s="53">
        <f>'Износ шин'!M18/1000</f>
        <v>254.66496</v>
      </c>
      <c r="DS40" s="53">
        <f>'Износ шин'!N18/1000</f>
        <v>266.24064000000004</v>
      </c>
      <c r="DT40" s="53">
        <f>'Износ шин'!O18/1000</f>
        <v>0</v>
      </c>
      <c r="DU40" s="53">
        <f>'Износ шин'!P18/1000</f>
        <v>46.30272</v>
      </c>
      <c r="DV40" s="53">
        <f>'Износ шин'!Q18/1000</f>
        <v>46.30272</v>
      </c>
      <c r="DW40" s="53">
        <f>'Износ шин'!R18/1000</f>
        <v>115.7568</v>
      </c>
      <c r="DX40" s="53">
        <f>'Износ шин'!G20/1000</f>
        <v>92.60544</v>
      </c>
      <c r="DY40" s="53">
        <f>'Износ шин'!H20/1000</f>
        <v>208.36223999999999</v>
      </c>
      <c r="DZ40" s="53">
        <f>'Износ шин'!I20/1000</f>
        <v>277.81632</v>
      </c>
      <c r="EA40" s="53">
        <f>'Износ шин'!J20/1000</f>
        <v>347.2704</v>
      </c>
      <c r="EB40" s="93">
        <f t="shared" si="82"/>
        <v>2349.8630399999997</v>
      </c>
      <c r="EC40" s="53">
        <f>'Износ шин'!K20/1000</f>
        <v>347.2704</v>
      </c>
      <c r="ED40" s="53">
        <f>'Износ шин'!L20/1000</f>
        <v>347.2704</v>
      </c>
      <c r="EE40" s="53">
        <f>'Износ шин'!M20/1000</f>
        <v>254.66496</v>
      </c>
      <c r="EF40" s="53">
        <f>'Износ шин'!N20/1000</f>
        <v>266.24064000000004</v>
      </c>
      <c r="EG40" s="53">
        <f>'Износ шин'!O20/1000</f>
        <v>0</v>
      </c>
      <c r="EH40" s="53">
        <f>'Износ шин'!P20/1000</f>
        <v>46.30272</v>
      </c>
      <c r="EI40" s="53">
        <f>'Износ шин'!Q20/1000</f>
        <v>46.30272</v>
      </c>
      <c r="EJ40" s="53">
        <f>'Износ шин'!R20/1000</f>
        <v>127.33248</v>
      </c>
      <c r="EK40" s="53">
        <f>'Износ шин'!G22/1000</f>
        <v>81.02976000000001</v>
      </c>
      <c r="EL40" s="53">
        <f>'Износ шин'!H22/1000</f>
        <v>208.36223999999999</v>
      </c>
      <c r="EM40" s="53">
        <f>'Износ шин'!I22/1000</f>
        <v>277.81632</v>
      </c>
      <c r="EN40" s="53">
        <f>'Износ шин'!J22/1000</f>
        <v>347.2704</v>
      </c>
      <c r="EO40" s="93">
        <f t="shared" si="83"/>
        <v>2349.8630399999997</v>
      </c>
      <c r="EP40" s="53">
        <f>'Износ шин'!K22/1000</f>
        <v>347.2704</v>
      </c>
      <c r="EQ40" s="53">
        <f>'Износ шин'!L22/1000</f>
        <v>347.2704</v>
      </c>
      <c r="ER40" s="53">
        <f>'Износ шин'!M22/1000</f>
        <v>266.24064000000004</v>
      </c>
      <c r="ES40" s="53">
        <f>'Износ шин'!N22/1000</f>
        <v>266.24064000000004</v>
      </c>
      <c r="ET40" s="53">
        <f>'Износ шин'!O22/1000</f>
        <v>0</v>
      </c>
      <c r="EU40" s="53">
        <f>'Износ шин'!P22/1000</f>
        <v>34.72704</v>
      </c>
      <c r="EV40" s="53">
        <f>'Износ шин'!Q22/1000</f>
        <v>46.30272</v>
      </c>
      <c r="EW40" s="53">
        <f>'Износ шин'!R22/1000</f>
        <v>127.33248</v>
      </c>
      <c r="EX40" s="53">
        <f>'Износ шин'!G24/1000</f>
        <v>81.02976000000001</v>
      </c>
      <c r="EY40" s="53">
        <f>'Износ шин'!H24/1000</f>
        <v>208.36223999999999</v>
      </c>
      <c r="EZ40" s="53">
        <f>'Износ шин'!I24/1000</f>
        <v>277.81632</v>
      </c>
      <c r="FA40" s="53">
        <f>'Износ шин'!J24/1000</f>
        <v>347.2704</v>
      </c>
      <c r="FB40" s="93">
        <f t="shared" si="84"/>
        <v>2349.8630399999997</v>
      </c>
      <c r="FC40" s="53">
        <f>'Износ шин'!K24/1000</f>
        <v>347.2704</v>
      </c>
      <c r="FD40" s="53">
        <f>'Износ шин'!L24/1000</f>
        <v>347.2704</v>
      </c>
      <c r="FE40" s="53">
        <f>'Износ шин'!M24/1000</f>
        <v>266.24064000000004</v>
      </c>
      <c r="FF40" s="53">
        <f>'Износ шин'!N24/1000</f>
        <v>266.24064000000004</v>
      </c>
      <c r="FG40" s="53">
        <f>'Износ шин'!O24/1000</f>
        <v>0</v>
      </c>
      <c r="FH40" s="53">
        <f>'Износ шин'!P24/1000</f>
        <v>34.72704</v>
      </c>
      <c r="FI40" s="53">
        <f>'Износ шин'!Q24/1000</f>
        <v>46.30272</v>
      </c>
      <c r="FJ40" s="53">
        <f>'Износ шин'!R24/1000</f>
        <v>127.33248</v>
      </c>
      <c r="FK40" s="53">
        <f>'Износ шин'!G26/1000</f>
        <v>92.60544</v>
      </c>
      <c r="FL40" s="53">
        <f>'Износ шин'!H26/1000</f>
        <v>196.78656</v>
      </c>
      <c r="FM40" s="53">
        <f>'Износ шин'!I26/1000</f>
        <v>277.81632</v>
      </c>
      <c r="FN40" s="53">
        <f>'Износ шин'!J26/1000</f>
        <v>347.2704</v>
      </c>
      <c r="FO40" s="93">
        <f t="shared" si="85"/>
        <v>2349.8630399999997</v>
      </c>
      <c r="FP40" s="53">
        <f>'Износ шин'!K26/1000</f>
        <v>347.2704</v>
      </c>
      <c r="FQ40" s="53">
        <f>'Износ шин'!L26/1000</f>
        <v>347.2704</v>
      </c>
      <c r="FR40" s="53">
        <f>'Износ шин'!M26/1000</f>
        <v>266.24064000000004</v>
      </c>
      <c r="FS40" s="53">
        <f>'Износ шин'!N26/1000</f>
        <v>266.24064000000004</v>
      </c>
      <c r="FT40" s="53">
        <f>'Износ шин'!O26/1000</f>
        <v>0</v>
      </c>
      <c r="FU40" s="53">
        <f>'Износ шин'!P26/1000</f>
        <v>46.30272</v>
      </c>
      <c r="FV40" s="53">
        <f>'Износ шин'!Q26/1000</f>
        <v>34.72704</v>
      </c>
      <c r="FW40" s="53">
        <f>'Износ шин'!R26/1000</f>
        <v>127.33248</v>
      </c>
      <c r="FX40" s="53">
        <f>'Износ шин'!G28/1000</f>
        <v>92.60544</v>
      </c>
      <c r="FY40" s="53">
        <f>'Износ шин'!H28/1000</f>
        <v>208.36223999999999</v>
      </c>
      <c r="FZ40" s="53">
        <f>'Износ шин'!I28/1000</f>
        <v>266.24064000000004</v>
      </c>
      <c r="GA40" s="53">
        <f>'Износ шин'!J28/1000</f>
        <v>347.2704</v>
      </c>
      <c r="GB40" s="93">
        <f t="shared" si="86"/>
        <v>2349.8630399999997</v>
      </c>
      <c r="GC40" s="53">
        <f>'Износ шин'!K28/1000</f>
        <v>347.2704</v>
      </c>
      <c r="GD40" s="53">
        <f>'Износ шин'!L28/1000</f>
        <v>347.2704</v>
      </c>
      <c r="GE40" s="53">
        <f>'Износ шин'!M28/1000</f>
        <v>266.24064000000004</v>
      </c>
      <c r="GF40" s="53">
        <f>'Износ шин'!N28/1000</f>
        <v>266.24064000000004</v>
      </c>
      <c r="GG40" s="53">
        <f>'Износ шин'!O28/1000</f>
        <v>0</v>
      </c>
      <c r="GH40" s="53">
        <f>'Износ шин'!P28/1000</f>
        <v>46.30272</v>
      </c>
      <c r="GI40" s="53">
        <f>'Износ шин'!Q28/1000</f>
        <v>46.30272</v>
      </c>
      <c r="GJ40" s="53">
        <f>'Износ шин'!R28/1000</f>
        <v>115.7568</v>
      </c>
      <c r="GK40" s="53">
        <f>'Износ шин'!G30/1000</f>
        <v>92.60544</v>
      </c>
      <c r="GL40" s="53">
        <f>'Износ шин'!H30/1000</f>
        <v>208.36223999999999</v>
      </c>
      <c r="GM40" s="53">
        <f>'Износ шин'!I30/1000</f>
        <v>277.81632</v>
      </c>
      <c r="GN40" s="53">
        <f>'Износ шин'!J30/1000</f>
        <v>347.2704</v>
      </c>
      <c r="GO40" s="93">
        <f t="shared" si="16"/>
        <v>2361.4387199999996</v>
      </c>
      <c r="GP40" s="53">
        <f>'Износ шин'!K30/1000</f>
        <v>347.2704</v>
      </c>
      <c r="GQ40" s="53">
        <f>'Износ шин'!L30/1000</f>
        <v>347.2704</v>
      </c>
      <c r="GR40" s="53">
        <f>'Износ шин'!M30/1000</f>
        <v>254.66496</v>
      </c>
      <c r="GS40" s="53">
        <f>'Износ шин'!N30/1000</f>
        <v>266.24064000000004</v>
      </c>
      <c r="GT40" s="53">
        <f>'Износ шин'!O30/1000</f>
        <v>0</v>
      </c>
      <c r="GU40" s="53">
        <f>'Износ шин'!P30/1000</f>
        <v>46.30272</v>
      </c>
      <c r="GV40" s="53">
        <f>'Износ шин'!Q30/1000</f>
        <v>46.30272</v>
      </c>
      <c r="GW40" s="53">
        <f>'Износ шин'!R30/1000</f>
        <v>115.7568</v>
      </c>
      <c r="GX40" s="53">
        <f>'Износ шин'!G30/1000</f>
        <v>92.60544</v>
      </c>
      <c r="GY40" s="53">
        <f>'Износ шин'!H30/1000</f>
        <v>208.36223999999999</v>
      </c>
      <c r="GZ40" s="53">
        <f>'Износ шин'!I30/1000</f>
        <v>277.81632</v>
      </c>
      <c r="HA40" s="53">
        <f>'Износ шин'!J30/1000</f>
        <v>347.2704</v>
      </c>
      <c r="HB40" s="93">
        <f t="shared" si="87"/>
        <v>2349.8630399999997</v>
      </c>
      <c r="HC40" s="49">
        <f t="shared" si="19"/>
        <v>30351.43296</v>
      </c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95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95"/>
      <c r="IC40" s="53"/>
      <c r="ID40" s="53"/>
      <c r="IE40" s="53"/>
      <c r="IF40" s="53"/>
      <c r="IG40" s="53"/>
      <c r="IH40" s="53"/>
      <c r="II40" s="53"/>
      <c r="IJ40" s="53"/>
      <c r="IK40" s="53"/>
      <c r="IL40" s="53"/>
      <c r="IM40" s="53"/>
      <c r="IN40" s="53"/>
      <c r="IO40" s="95"/>
      <c r="IP40" s="53"/>
      <c r="IQ40" s="53"/>
      <c r="IR40" s="53"/>
      <c r="IS40" s="53"/>
      <c r="IT40" s="53"/>
      <c r="IU40" s="53"/>
      <c r="IV40" s="53"/>
    </row>
    <row r="41" spans="1:256" s="56" customFormat="1" ht="14.25" outlineLevel="2">
      <c r="A41" s="30"/>
      <c r="B41" s="98" t="s">
        <v>396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95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95"/>
      <c r="AC41" s="53"/>
      <c r="AD41" s="53"/>
      <c r="AE41" s="53"/>
      <c r="AF41" s="53"/>
      <c r="AG41" s="53"/>
      <c r="AH41" s="53"/>
      <c r="AI41" s="53"/>
      <c r="AJ41" s="53"/>
      <c r="AK41" s="53">
        <f>"Платон"!G6/1000</f>
        <v>29.162</v>
      </c>
      <c r="AL41" s="53">
        <f>"Платон"!H6/1000</f>
        <v>33.328</v>
      </c>
      <c r="AM41" s="53">
        <f>"Платон"!I6/1000</f>
        <v>41.66</v>
      </c>
      <c r="AN41" s="53">
        <f>"Платон"!J6/1000</f>
        <v>62.49</v>
      </c>
      <c r="AO41" s="93">
        <f t="shared" si="0"/>
        <v>166.64000000000001</v>
      </c>
      <c r="AP41" s="53">
        <f>"Платон"!K6/1000</f>
        <v>83.32</v>
      </c>
      <c r="AQ41" s="53">
        <f>"Платон"!L6/1000</f>
        <v>58.324</v>
      </c>
      <c r="AR41" s="53">
        <f>"Платон"!M6/1000</f>
        <v>33.328</v>
      </c>
      <c r="AS41" s="53">
        <f>"Платон"!N6/1000</f>
        <v>45.826</v>
      </c>
      <c r="AT41" s="53">
        <f>"Платон"!O6/1000</f>
        <v>0</v>
      </c>
      <c r="AU41" s="53">
        <f>"Платон"!P6/1000</f>
        <v>4.166</v>
      </c>
      <c r="AV41" s="53">
        <f>"Платон"!Q6/1000</f>
        <v>8.332</v>
      </c>
      <c r="AW41" s="53">
        <f>"Платон"!R6/1000</f>
        <v>16.664</v>
      </c>
      <c r="AX41" s="53">
        <f>"Платон"!G8/1000</f>
        <v>49.992</v>
      </c>
      <c r="AY41" s="53">
        <f>"Платон"!H8/1000</f>
        <v>74.988</v>
      </c>
      <c r="AZ41" s="53">
        <f>"Платон"!I8/1000</f>
        <v>99.984</v>
      </c>
      <c r="BA41" s="53">
        <f>"Платон"!J8/1000</f>
        <v>124.98</v>
      </c>
      <c r="BB41" s="93">
        <f t="shared" si="2"/>
        <v>599.904</v>
      </c>
      <c r="BC41" s="53">
        <f>"Платон"!K8/1000</f>
        <v>124.98</v>
      </c>
      <c r="BD41" s="53">
        <f>"Платон"!L8/1000</f>
        <v>124.98</v>
      </c>
      <c r="BE41" s="53">
        <f>"Платон"!M8/1000</f>
        <v>91.652</v>
      </c>
      <c r="BF41" s="53">
        <f>"Платон"!N8/1000</f>
        <v>95.818</v>
      </c>
      <c r="BG41" s="53">
        <f>"Платон"!O8/1000</f>
        <v>0</v>
      </c>
      <c r="BH41" s="53">
        <f>"Платон"!P8/1000</f>
        <v>16.664</v>
      </c>
      <c r="BI41" s="53">
        <f>"Платон"!Q8/1000</f>
        <v>16.664</v>
      </c>
      <c r="BJ41" s="53">
        <f>"Платон"!R8/1000</f>
        <v>41.66</v>
      </c>
      <c r="BK41" s="53">
        <f>"Платон"!G10/1000</f>
        <v>33.328</v>
      </c>
      <c r="BL41" s="53">
        <f>"Платон"!H10/1000</f>
        <v>74.988</v>
      </c>
      <c r="BM41" s="53">
        <f>"Платон"!I10/1000</f>
        <v>99.984</v>
      </c>
      <c r="BN41" s="53">
        <f>"Платон"!J10/1000</f>
        <v>124.98</v>
      </c>
      <c r="BO41" s="93">
        <f t="shared" si="4"/>
        <v>845.698</v>
      </c>
      <c r="BP41" s="53">
        <f>"Платон"!K10/1000</f>
        <v>124.98</v>
      </c>
      <c r="BQ41" s="53">
        <f>"Платон"!L10/1000</f>
        <v>124.98</v>
      </c>
      <c r="BR41" s="53">
        <f>"Платон"!M10/1000</f>
        <v>95.818</v>
      </c>
      <c r="BS41" s="53">
        <f>"Платон"!N10/1000</f>
        <v>95.818</v>
      </c>
      <c r="BT41" s="53">
        <f>"Платон"!O10/1000</f>
        <v>0</v>
      </c>
      <c r="BU41" s="53">
        <f>"Платон"!P10/1000</f>
        <v>12.498</v>
      </c>
      <c r="BV41" s="53">
        <f>"Платон"!Q10/1000</f>
        <v>16.664</v>
      </c>
      <c r="BW41" s="53">
        <f>"Платон"!R10/1000</f>
        <v>45.826</v>
      </c>
      <c r="BX41" s="53">
        <f>"Платон"!G12/1000</f>
        <v>29.162</v>
      </c>
      <c r="BY41" s="53">
        <f>"Платон"!H12/1000</f>
        <v>74.988</v>
      </c>
      <c r="BZ41" s="53">
        <f>"Платон"!I12/1000</f>
        <v>99.984</v>
      </c>
      <c r="CA41" s="53">
        <f>"Платон"!J12/1000</f>
        <v>124.98</v>
      </c>
      <c r="CB41" s="93">
        <f t="shared" si="79"/>
        <v>845.698</v>
      </c>
      <c r="CC41" s="53">
        <f>"Платон"!K12/1000</f>
        <v>124.98</v>
      </c>
      <c r="CD41" s="53">
        <f>"Платон"!L12/1000</f>
        <v>124.98</v>
      </c>
      <c r="CE41" s="53">
        <f>"Платон"!M12/1000</f>
        <v>95.818</v>
      </c>
      <c r="CF41" s="53">
        <f>"Платон"!N12/1000</f>
        <v>95.818</v>
      </c>
      <c r="CG41" s="53">
        <f>"Платон"!O12/1000</f>
        <v>0</v>
      </c>
      <c r="CH41" s="53">
        <f>"Платон"!P12/1000</f>
        <v>12.498</v>
      </c>
      <c r="CI41" s="53">
        <f>"Платон"!Q12/1000</f>
        <v>16.664</v>
      </c>
      <c r="CJ41" s="53">
        <f>"Платон"!R12/1000</f>
        <v>45.826</v>
      </c>
      <c r="CK41" s="53">
        <f>"Платон"!G14/1000</f>
        <v>33.328</v>
      </c>
      <c r="CL41" s="53">
        <f>"Платон"!H14/1000</f>
        <v>70.822</v>
      </c>
      <c r="CM41" s="53">
        <f>"Платон"!I14/1000</f>
        <v>99.984</v>
      </c>
      <c r="CN41" s="53">
        <f>"Платон"!J14/1000</f>
        <v>124.98</v>
      </c>
      <c r="CO41" s="93">
        <f t="shared" si="88"/>
        <v>845.6980000000001</v>
      </c>
      <c r="CP41" s="53">
        <f>"Платон"!K14/1000</f>
        <v>124.98</v>
      </c>
      <c r="CQ41" s="53">
        <f>"Платон"!L14/1000</f>
        <v>124.98</v>
      </c>
      <c r="CR41" s="53">
        <f>"Платон"!M14/1000</f>
        <v>95.818</v>
      </c>
      <c r="CS41" s="53">
        <f>"Платон"!N14/1000</f>
        <v>95.818</v>
      </c>
      <c r="CT41" s="53">
        <f>"Платон"!O14/1000</f>
        <v>0</v>
      </c>
      <c r="CU41" s="53">
        <f>"Платон"!P14/1000</f>
        <v>16.664</v>
      </c>
      <c r="CV41" s="53">
        <f>"Платон"!Q14/1000</f>
        <v>12.498</v>
      </c>
      <c r="CW41" s="53">
        <f>"Платон"!R14/1000</f>
        <v>45.826</v>
      </c>
      <c r="CX41" s="53">
        <f>"Платон"!G16/1000</f>
        <v>33.328</v>
      </c>
      <c r="CY41" s="53">
        <f>"Платон"!H16/1000</f>
        <v>74.988</v>
      </c>
      <c r="CZ41" s="53">
        <f>"Платон"!I16/1000</f>
        <v>95.818</v>
      </c>
      <c r="DA41" s="53">
        <f>"Платон"!J16/1000</f>
        <v>124.98</v>
      </c>
      <c r="DB41" s="93">
        <f t="shared" si="80"/>
        <v>845.6980000000001</v>
      </c>
      <c r="DC41" s="53">
        <f>"Платон"!K16/1000</f>
        <v>124.98</v>
      </c>
      <c r="DD41" s="53">
        <f>"Платон"!L16/1000</f>
        <v>124.98</v>
      </c>
      <c r="DE41" s="53">
        <f>"Платон"!M16/1000</f>
        <v>95.818</v>
      </c>
      <c r="DF41" s="53">
        <f>"Платон"!N16/1000</f>
        <v>95.818</v>
      </c>
      <c r="DG41" s="53">
        <f>"Платон"!O16/1000</f>
        <v>0</v>
      </c>
      <c r="DH41" s="53">
        <f>"Платон"!P16/1000</f>
        <v>16.664</v>
      </c>
      <c r="DI41" s="53">
        <f>"Платон"!Q16/1000</f>
        <v>12.498</v>
      </c>
      <c r="DJ41" s="53">
        <f>"Платон"!R16/1000</f>
        <v>45.826</v>
      </c>
      <c r="DK41" s="53">
        <f>"Платон"!G18/1000</f>
        <v>33.328</v>
      </c>
      <c r="DL41" s="53">
        <f>"Платон"!H18/1000</f>
        <v>74.988</v>
      </c>
      <c r="DM41" s="53">
        <f>"Платон"!I18/1000</f>
        <v>99.984</v>
      </c>
      <c r="DN41" s="53">
        <f>"Платон"!J18/1000</f>
        <v>124.98</v>
      </c>
      <c r="DO41" s="93">
        <f t="shared" si="81"/>
        <v>849.864</v>
      </c>
      <c r="DP41" s="53">
        <f>"Платон"!K18/1000</f>
        <v>124.98</v>
      </c>
      <c r="DQ41" s="53">
        <f>"Платон"!L18/1000</f>
        <v>124.98</v>
      </c>
      <c r="DR41" s="53">
        <f>"Платон"!M18/1000</f>
        <v>91.652</v>
      </c>
      <c r="DS41" s="53">
        <f>"Платон"!N18/1000</f>
        <v>95.818</v>
      </c>
      <c r="DT41" s="53">
        <f>"Платон"!O18/1000</f>
        <v>0</v>
      </c>
      <c r="DU41" s="53">
        <f>"Платон"!P18/1000</f>
        <v>16.664</v>
      </c>
      <c r="DV41" s="53">
        <f>"Платон"!Q18/1000</f>
        <v>16.664</v>
      </c>
      <c r="DW41" s="53">
        <f>"Платон"!R18/1000</f>
        <v>41.66</v>
      </c>
      <c r="DX41" s="53">
        <f>"Платон"!G20/1000</f>
        <v>33.328</v>
      </c>
      <c r="DY41" s="53">
        <f>"Платон"!H20/1000</f>
        <v>74.988</v>
      </c>
      <c r="DZ41" s="53">
        <f>"Платон"!I20/1000</f>
        <v>99.984</v>
      </c>
      <c r="EA41" s="53">
        <f>"Платон"!J20/1000</f>
        <v>124.98</v>
      </c>
      <c r="EB41" s="93">
        <f t="shared" si="82"/>
        <v>845.698</v>
      </c>
      <c r="EC41" s="53">
        <f>"Платон"!K20/1000</f>
        <v>124.98</v>
      </c>
      <c r="ED41" s="53">
        <f>"Платон"!L20/1000</f>
        <v>124.98</v>
      </c>
      <c r="EE41" s="53">
        <f>"Платон"!M20/1000</f>
        <v>91.652</v>
      </c>
      <c r="EF41" s="53">
        <f>"Платон"!N20/1000</f>
        <v>95.818</v>
      </c>
      <c r="EG41" s="53">
        <f>"Платон"!O20/1000</f>
        <v>0</v>
      </c>
      <c r="EH41" s="53">
        <f>"Платон"!P20/1000</f>
        <v>16.664</v>
      </c>
      <c r="EI41" s="53">
        <f>"Платон"!Q20/1000</f>
        <v>16.664</v>
      </c>
      <c r="EJ41" s="53">
        <f>"Платон"!R20/1000</f>
        <v>45.826</v>
      </c>
      <c r="EK41" s="53">
        <f>"Платон"!G22/1000</f>
        <v>29.162</v>
      </c>
      <c r="EL41" s="53">
        <f>"Платон"!H22/1000</f>
        <v>74.988</v>
      </c>
      <c r="EM41" s="53">
        <f>"Платон"!I22/1000</f>
        <v>99.984</v>
      </c>
      <c r="EN41" s="53">
        <f>"Платон"!J22/1000</f>
        <v>124.98</v>
      </c>
      <c r="EO41" s="93">
        <f t="shared" si="83"/>
        <v>845.698</v>
      </c>
      <c r="EP41" s="53">
        <f>"Платон"!K22/1000</f>
        <v>124.98</v>
      </c>
      <c r="EQ41" s="53">
        <f>"Платон"!L22/1000</f>
        <v>124.98</v>
      </c>
      <c r="ER41" s="53">
        <f>"Платон"!M22/1000</f>
        <v>95.818</v>
      </c>
      <c r="ES41" s="53">
        <f>"Платон"!N22/1000</f>
        <v>95.818</v>
      </c>
      <c r="ET41" s="53">
        <f>"Платон"!O22/1000</f>
        <v>0</v>
      </c>
      <c r="EU41" s="53">
        <f>"Платон"!P22/1000</f>
        <v>12.498</v>
      </c>
      <c r="EV41" s="53">
        <f>"Платон"!Q22/1000</f>
        <v>16.664</v>
      </c>
      <c r="EW41" s="53">
        <f>"Платон"!R22/1000</f>
        <v>45.826</v>
      </c>
      <c r="EX41" s="53">
        <f>'Износ шин'!G24/1000</f>
        <v>81.02976000000001</v>
      </c>
      <c r="EY41" s="53">
        <f>'Износ шин'!H24/1000</f>
        <v>208.36223999999999</v>
      </c>
      <c r="EZ41" s="53">
        <f>'Износ шин'!I24/1000</f>
        <v>277.81632</v>
      </c>
      <c r="FA41" s="53">
        <f>'Износ шин'!J24/1000</f>
        <v>347.2704</v>
      </c>
      <c r="FB41" s="93">
        <f t="shared" si="84"/>
        <v>1431.0627200000001</v>
      </c>
      <c r="FC41" s="53">
        <f>"Платон"!K24/1000</f>
        <v>124.98</v>
      </c>
      <c r="FD41" s="53">
        <f>"Платон"!L24/1000</f>
        <v>124.98</v>
      </c>
      <c r="FE41" s="53">
        <f>"Платон"!M24/1000</f>
        <v>95.818</v>
      </c>
      <c r="FF41" s="53">
        <f>"Платон"!N24/1000</f>
        <v>95.818</v>
      </c>
      <c r="FG41" s="53">
        <f>"Платон"!O24/1000</f>
        <v>0</v>
      </c>
      <c r="FH41" s="53">
        <f>"Платон"!P24/1000</f>
        <v>12.498</v>
      </c>
      <c r="FI41" s="53">
        <f>"Платон"!Q24/1000</f>
        <v>16.664</v>
      </c>
      <c r="FJ41" s="53">
        <f>"Платон"!R24/1000</f>
        <v>45.826</v>
      </c>
      <c r="FK41" s="53">
        <f>"Платон"!G26/1000</f>
        <v>33.328</v>
      </c>
      <c r="FL41" s="53">
        <f>"Платон"!H26/1000</f>
        <v>70.822</v>
      </c>
      <c r="FM41" s="53">
        <f>"Платон"!I26/1000</f>
        <v>99.984</v>
      </c>
      <c r="FN41" s="53">
        <f>"Платон"!J26/1000</f>
        <v>124.98</v>
      </c>
      <c r="FO41" s="93">
        <f t="shared" si="85"/>
        <v>845.6980000000001</v>
      </c>
      <c r="FP41" s="53">
        <f>"Платон"!K26/1000</f>
        <v>124.98</v>
      </c>
      <c r="FQ41" s="53">
        <f>"Платон"!L26/1000</f>
        <v>124.98</v>
      </c>
      <c r="FR41" s="53">
        <f>"Платон"!M26/1000</f>
        <v>95.818</v>
      </c>
      <c r="FS41" s="53">
        <f>"Платон"!N26/1000</f>
        <v>95.818</v>
      </c>
      <c r="FT41" s="53">
        <f>"Платон"!O26/1000</f>
        <v>0</v>
      </c>
      <c r="FU41" s="53">
        <f>"Платон"!P26/1000</f>
        <v>16.664</v>
      </c>
      <c r="FV41" s="53">
        <f>"Платон"!Q26/1000</f>
        <v>12.498</v>
      </c>
      <c r="FW41" s="53">
        <f>"Платон"!R26/1000</f>
        <v>45.826</v>
      </c>
      <c r="FX41" s="53">
        <f>"Платон"!G28/1000</f>
        <v>33.328</v>
      </c>
      <c r="FY41" s="53">
        <f>"Платон"!H28/1000</f>
        <v>74.988</v>
      </c>
      <c r="FZ41" s="53">
        <f>"Платон"!I28/1000</f>
        <v>95.818</v>
      </c>
      <c r="GA41" s="53">
        <f>"Платон"!J28/1000</f>
        <v>124.98</v>
      </c>
      <c r="GB41" s="93">
        <f t="shared" si="86"/>
        <v>845.6980000000001</v>
      </c>
      <c r="GC41" s="53">
        <f>"Платон"!K28/1000</f>
        <v>124.98</v>
      </c>
      <c r="GD41" s="53">
        <f>"Платон"!L28/1000</f>
        <v>124.98</v>
      </c>
      <c r="GE41" s="53">
        <f>"Платон"!M28/1000</f>
        <v>95.818</v>
      </c>
      <c r="GF41" s="53">
        <f>"Платон"!N28/1000</f>
        <v>95.818</v>
      </c>
      <c r="GG41" s="53">
        <f>"Платон"!O28/1000</f>
        <v>0</v>
      </c>
      <c r="GH41" s="53">
        <f>"Платон"!P28/1000</f>
        <v>16.664</v>
      </c>
      <c r="GI41" s="53">
        <f>"Платон"!Q28/1000</f>
        <v>16.664</v>
      </c>
      <c r="GJ41" s="53">
        <f>"Платон"!R28/1000</f>
        <v>41.66</v>
      </c>
      <c r="GK41" s="53">
        <f>"Платон"!G30/1000</f>
        <v>33.328</v>
      </c>
      <c r="GL41" s="53">
        <f>"Платон"!H30/1000</f>
        <v>74.988</v>
      </c>
      <c r="GM41" s="53">
        <f>"Платон"!I30/1000</f>
        <v>99.984</v>
      </c>
      <c r="GN41" s="53">
        <f>"Платон"!J30/1000</f>
        <v>124.98</v>
      </c>
      <c r="GO41" s="93">
        <f t="shared" si="16"/>
        <v>849.8639999999999</v>
      </c>
      <c r="GP41" s="53">
        <f>"Платон"!K30/1000</f>
        <v>124.98</v>
      </c>
      <c r="GQ41" s="53">
        <f>"Платон"!L30/1000</f>
        <v>124.98</v>
      </c>
      <c r="GR41" s="53">
        <f>"Платон"!M30/1000</f>
        <v>91.652</v>
      </c>
      <c r="GS41" s="53">
        <f>"Платон"!N30/1000</f>
        <v>95.818</v>
      </c>
      <c r="GT41" s="53">
        <f>"Платон"!O30/1000</f>
        <v>0</v>
      </c>
      <c r="GU41" s="53">
        <f>"Платон"!P30/1000</f>
        <v>16.664</v>
      </c>
      <c r="GV41" s="53">
        <f>"Платон"!Q30/1000</f>
        <v>16.664</v>
      </c>
      <c r="GW41" s="53">
        <f>"Платон"!R30/1000</f>
        <v>41.66</v>
      </c>
      <c r="GX41" s="53">
        <f>"Платон"!G30/1000</f>
        <v>33.328</v>
      </c>
      <c r="GY41" s="53">
        <f>"Платон"!H30/1000</f>
        <v>74.988</v>
      </c>
      <c r="GZ41" s="53">
        <f>"Платон"!I30/1000</f>
        <v>99.984</v>
      </c>
      <c r="HA41" s="53">
        <f>"Платон"!J30/1000</f>
        <v>124.98</v>
      </c>
      <c r="HB41" s="93">
        <f t="shared" si="87"/>
        <v>845.698</v>
      </c>
      <c r="HC41" s="49">
        <f t="shared" si="19"/>
        <v>11508.616720000002</v>
      </c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95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95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95"/>
      <c r="IP41" s="53"/>
      <c r="IQ41" s="53"/>
      <c r="IR41" s="53"/>
      <c r="IS41" s="53"/>
      <c r="IT41" s="53"/>
      <c r="IU41" s="53"/>
      <c r="IV41" s="53"/>
    </row>
    <row r="42" spans="1:256" s="51" customFormat="1" ht="14.25" outlineLevel="2">
      <c r="A42" s="48"/>
      <c r="B42" s="97" t="s">
        <v>400</v>
      </c>
      <c r="C42" s="54"/>
      <c r="D42" s="54"/>
      <c r="E42" s="54"/>
      <c r="F42" s="54"/>
      <c r="G42" s="54"/>
      <c r="H42" s="54"/>
      <c r="I42" s="54"/>
      <c r="J42" s="54"/>
      <c r="K42" s="54">
        <f>K43+K44+K45+K46+K47+K48+K49+K50+K51+K52+K53+K54</f>
        <v>102.50534132000001</v>
      </c>
      <c r="L42" s="54">
        <f>L43+L44+L45+L46+L47+L48+L49+L50+L51+L52+L53+L54</f>
        <v>102.50534132000001</v>
      </c>
      <c r="M42" s="54">
        <f>M43+M44+M45+M46+M47+M48+M49+M50+M51+M52+M53+M54</f>
        <v>99.4236569</v>
      </c>
      <c r="N42" s="54">
        <f>N43+N44+N45+N46+N47+N48+N49+N50+N51+N52+N53+N54</f>
        <v>84.77971637999998</v>
      </c>
      <c r="O42" s="93">
        <f>N42+M42+L42+K42</f>
        <v>389.21405592</v>
      </c>
      <c r="P42" s="54">
        <f aca="true" t="shared" si="89" ref="P42:AA42">P43+P44+P45+P46+P47+P48+P49+P50+P51+P52+P53+P54</f>
        <v>102.50534132000001</v>
      </c>
      <c r="Q42" s="54">
        <f t="shared" si="89"/>
        <v>102.50534132000001</v>
      </c>
      <c r="R42" s="54">
        <f t="shared" si="89"/>
        <v>99.4236569</v>
      </c>
      <c r="S42" s="54">
        <f t="shared" si="89"/>
        <v>84.77971637999998</v>
      </c>
      <c r="T42" s="54">
        <f t="shared" si="89"/>
        <v>51.93151398000002</v>
      </c>
      <c r="U42" s="54">
        <f t="shared" si="89"/>
        <v>51.93151398000002</v>
      </c>
      <c r="V42" s="54">
        <f t="shared" si="89"/>
        <v>51.93151398000002</v>
      </c>
      <c r="W42" s="54">
        <f t="shared" si="89"/>
        <v>57.26551398000002</v>
      </c>
      <c r="X42" s="54">
        <f t="shared" si="89"/>
        <v>228.5446051</v>
      </c>
      <c r="Y42" s="54">
        <f t="shared" si="89"/>
        <v>238.03467787000002</v>
      </c>
      <c r="Z42" s="54">
        <f t="shared" si="89"/>
        <v>228.5446051</v>
      </c>
      <c r="AA42" s="54">
        <f t="shared" si="89"/>
        <v>228.5446051</v>
      </c>
      <c r="AB42" s="93">
        <f>AA42+Z42+Y42+X42+W42+V42+U42+T42+S42+R42+Q42+P42</f>
        <v>1525.9426050100005</v>
      </c>
      <c r="AC42" s="54">
        <f>AC43+AC44+AC45+AC46+AC47+AC48+AC49+AC50+AC51+AC52+AC53+AC54</f>
        <v>288.0928188223077</v>
      </c>
      <c r="AD42" s="54">
        <f aca="true" t="shared" si="90" ref="AD42:FN42">AD43+AD44+AD45+AD46+AD47+AD48+AD49+AD50+AD51+AD52+AD53+AD54</f>
        <v>279.11843244</v>
      </c>
      <c r="AE42" s="54">
        <f t="shared" si="90"/>
        <v>276.03674802</v>
      </c>
      <c r="AF42" s="54">
        <f t="shared" si="90"/>
        <v>301.75492774500003</v>
      </c>
      <c r="AG42" s="54">
        <f t="shared" si="90"/>
        <v>228.54460510000007</v>
      </c>
      <c r="AH42" s="54">
        <f t="shared" si="90"/>
        <v>228.54460510000007</v>
      </c>
      <c r="AI42" s="54">
        <f t="shared" si="90"/>
        <v>258.325769857143</v>
      </c>
      <c r="AJ42" s="54">
        <f t="shared" si="90"/>
        <v>357.01954142</v>
      </c>
      <c r="AK42" s="54">
        <f t="shared" si="90"/>
        <v>340.051123012</v>
      </c>
      <c r="AL42" s="54">
        <f t="shared" si="90"/>
        <v>1026.7711602919999</v>
      </c>
      <c r="AM42" s="54">
        <f t="shared" si="90"/>
        <v>336.49846342000006</v>
      </c>
      <c r="AN42" s="54">
        <f>AN43+AN44+AN45+AN46+AN47+AN48+AN49+AN50+AN51+AN52+AN53+AN54</f>
        <v>639.3559837500001</v>
      </c>
      <c r="AO42" s="93">
        <f t="shared" si="0"/>
        <v>4560.1141789784515</v>
      </c>
      <c r="AP42" s="54">
        <f>AP43+AP44+AP45+AP46+AP47+AP48+AP49+AP50+AP51+AP52+AP53+AP54</f>
        <v>1437.0976653783446</v>
      </c>
      <c r="AQ42" s="54">
        <f t="shared" si="90"/>
        <v>1603.931557417333</v>
      </c>
      <c r="AR42" s="54">
        <f t="shared" si="90"/>
        <v>1945.8437482680001</v>
      </c>
      <c r="AS42" s="54">
        <f t="shared" si="90"/>
        <v>6474.235812698264</v>
      </c>
      <c r="AT42" s="54">
        <f t="shared" si="90"/>
        <v>1176.2556792149996</v>
      </c>
      <c r="AU42" s="54">
        <f t="shared" si="90"/>
        <v>1579.9689982093334</v>
      </c>
      <c r="AV42" s="54">
        <f t="shared" si="90"/>
        <v>3813.260508082</v>
      </c>
      <c r="AW42" s="54">
        <f t="shared" si="90"/>
        <v>528.9088414639999</v>
      </c>
      <c r="AX42" s="54">
        <f t="shared" si="90"/>
        <v>380.45096001199994</v>
      </c>
      <c r="AY42" s="54">
        <f t="shared" si="90"/>
        <v>4356.17319555</v>
      </c>
      <c r="AZ42" s="54">
        <f t="shared" si="90"/>
        <v>413.568475524</v>
      </c>
      <c r="BA42" s="54">
        <f t="shared" si="90"/>
        <v>721.0474659313338</v>
      </c>
      <c r="BB42" s="93">
        <f t="shared" si="2"/>
        <v>24430.74290774961</v>
      </c>
      <c r="BC42" s="54">
        <f t="shared" si="90"/>
        <v>1575.6949773699998</v>
      </c>
      <c r="BD42" s="54">
        <f t="shared" si="90"/>
        <v>3666.461981703333</v>
      </c>
      <c r="BE42" s="54">
        <f t="shared" si="90"/>
        <v>3529.994803478666</v>
      </c>
      <c r="BF42" s="54">
        <f>BF43+BF44+BF45+BF46+BF47+BF48+BF49+BF50+BF51+BF52+BF53+BF54</f>
        <v>15274.140832488134</v>
      </c>
      <c r="BG42" s="54">
        <f t="shared" si="90"/>
        <v>2101.606988741666</v>
      </c>
      <c r="BH42" s="54">
        <f t="shared" si="90"/>
        <v>3014.6636092439994</v>
      </c>
      <c r="BI42" s="54">
        <f t="shared" si="90"/>
        <v>7750.17901623638</v>
      </c>
      <c r="BJ42" s="54">
        <f t="shared" si="90"/>
        <v>780.8876299399997</v>
      </c>
      <c r="BK42" s="54">
        <f t="shared" si="90"/>
        <v>360.28047306799994</v>
      </c>
      <c r="BL42" s="54">
        <f t="shared" si="90"/>
        <v>7107.9405801305</v>
      </c>
      <c r="BM42" s="54">
        <f t="shared" si="90"/>
        <v>401.92572218000004</v>
      </c>
      <c r="BN42" s="54">
        <f t="shared" si="90"/>
        <v>701.9231258483336</v>
      </c>
      <c r="BO42" s="93">
        <f t="shared" si="4"/>
        <v>46265.699740429</v>
      </c>
      <c r="BP42" s="54">
        <f t="shared" si="90"/>
        <v>1575.6949490366665</v>
      </c>
      <c r="BQ42" s="54">
        <f t="shared" si="90"/>
        <v>3666.461981703333</v>
      </c>
      <c r="BR42" s="54">
        <f t="shared" si="90"/>
        <v>3535.037425214666</v>
      </c>
      <c r="BS42" s="54">
        <f t="shared" si="90"/>
        <v>16825.424642376725</v>
      </c>
      <c r="BT42" s="54">
        <f t="shared" si="90"/>
        <v>2101.606988741666</v>
      </c>
      <c r="BU42" s="54">
        <f t="shared" si="90"/>
        <v>3009.620987508</v>
      </c>
      <c r="BV42" s="54">
        <f t="shared" si="90"/>
        <v>7132.247658400669</v>
      </c>
      <c r="BW42" s="54">
        <f t="shared" si="90"/>
        <v>785.9302516759997</v>
      </c>
      <c r="BX42" s="54">
        <f t="shared" si="90"/>
        <v>355.2378513319999</v>
      </c>
      <c r="BY42" s="54">
        <f t="shared" si="90"/>
        <v>6427.895622486501</v>
      </c>
      <c r="BZ42" s="54">
        <f t="shared" si="90"/>
        <v>401.92572218000004</v>
      </c>
      <c r="CA42" s="54">
        <f t="shared" si="90"/>
        <v>701.9231258483336</v>
      </c>
      <c r="CB42" s="93">
        <f t="shared" si="79"/>
        <v>46519.00720650456</v>
      </c>
      <c r="CC42" s="54">
        <f t="shared" si="90"/>
        <v>1575.6949490366665</v>
      </c>
      <c r="CD42" s="54">
        <f t="shared" si="90"/>
        <v>3666.461981703333</v>
      </c>
      <c r="CE42" s="54">
        <f t="shared" si="90"/>
        <v>3535.037425214666</v>
      </c>
      <c r="CF42" s="54">
        <f t="shared" si="90"/>
        <v>16316.43559579365</v>
      </c>
      <c r="CG42" s="54">
        <f t="shared" si="90"/>
        <v>2101.606988741666</v>
      </c>
      <c r="CH42" s="54">
        <f t="shared" si="90"/>
        <v>3009.620987508</v>
      </c>
      <c r="CI42" s="54">
        <f t="shared" si="90"/>
        <v>6436.0767613463795</v>
      </c>
      <c r="CJ42" s="54">
        <f t="shared" si="90"/>
        <v>785.9302516759997</v>
      </c>
      <c r="CK42" s="54">
        <f t="shared" si="90"/>
        <v>360.28047306799994</v>
      </c>
      <c r="CL42" s="54">
        <f t="shared" si="90"/>
        <v>5726.384633522501</v>
      </c>
      <c r="CM42" s="54">
        <f t="shared" si="90"/>
        <v>401.92572218000004</v>
      </c>
      <c r="CN42" s="54">
        <f t="shared" si="90"/>
        <v>701.9231258483336</v>
      </c>
      <c r="CO42" s="93">
        <f t="shared" si="88"/>
        <v>44617.378895639195</v>
      </c>
      <c r="CP42" s="54">
        <f t="shared" si="90"/>
        <v>1575.6949490366665</v>
      </c>
      <c r="CQ42" s="54">
        <f t="shared" si="90"/>
        <v>3666.461981703333</v>
      </c>
      <c r="CR42" s="54">
        <f t="shared" si="90"/>
        <v>3535.037425214666</v>
      </c>
      <c r="CS42" s="54">
        <f t="shared" si="90"/>
        <v>15382.942358819655</v>
      </c>
      <c r="CT42" s="54">
        <f t="shared" si="90"/>
        <v>2101.606988741666</v>
      </c>
      <c r="CU42" s="54">
        <f t="shared" si="90"/>
        <v>3014.6636092439994</v>
      </c>
      <c r="CV42" s="54">
        <f t="shared" si="90"/>
        <v>5683.210106446095</v>
      </c>
      <c r="CW42" s="54">
        <f t="shared" si="90"/>
        <v>868.5944798259997</v>
      </c>
      <c r="CX42" s="54">
        <f t="shared" si="90"/>
        <v>360.28047306799994</v>
      </c>
      <c r="CY42" s="54">
        <f t="shared" si="90"/>
        <v>5111.356397533002</v>
      </c>
      <c r="CZ42" s="54">
        <f t="shared" si="90"/>
        <v>397.1522288975001</v>
      </c>
      <c r="DA42" s="54">
        <f t="shared" si="90"/>
        <v>807.9743388233331</v>
      </c>
      <c r="DB42" s="93">
        <f t="shared" si="80"/>
        <v>42504.97533735391</v>
      </c>
      <c r="DC42" s="54">
        <f t="shared" si="90"/>
        <v>1575.6949490366665</v>
      </c>
      <c r="DD42" s="54">
        <f t="shared" si="90"/>
        <v>3666.461981703333</v>
      </c>
      <c r="DE42" s="54">
        <f t="shared" si="90"/>
        <v>3535.037425214666</v>
      </c>
      <c r="DF42" s="54">
        <f t="shared" si="90"/>
        <v>14596.59497842837</v>
      </c>
      <c r="DG42" s="54">
        <f t="shared" si="90"/>
        <v>2101.606988741666</v>
      </c>
      <c r="DH42" s="54">
        <f t="shared" si="90"/>
        <v>3014.6636092439994</v>
      </c>
      <c r="DI42" s="54">
        <f t="shared" si="90"/>
        <v>5222.715710514667</v>
      </c>
      <c r="DJ42" s="54">
        <f t="shared" si="90"/>
        <v>868.5944798259997</v>
      </c>
      <c r="DK42" s="54">
        <f t="shared" si="90"/>
        <v>360.28047306799994</v>
      </c>
      <c r="DL42" s="54">
        <f t="shared" si="90"/>
        <v>4468.043142868086</v>
      </c>
      <c r="DM42" s="54">
        <f t="shared" si="90"/>
        <v>401.92572218000004</v>
      </c>
      <c r="DN42" s="54">
        <f t="shared" si="90"/>
        <v>701.7112147283337</v>
      </c>
      <c r="DO42" s="93">
        <f t="shared" si="81"/>
        <v>40513.330675553785</v>
      </c>
      <c r="DP42" s="54">
        <f t="shared" si="90"/>
        <v>1575.6949490366665</v>
      </c>
      <c r="DQ42" s="54">
        <f t="shared" si="90"/>
        <v>3666.461981703333</v>
      </c>
      <c r="DR42" s="54">
        <f t="shared" si="90"/>
        <v>3529.994803478666</v>
      </c>
      <c r="DS42" s="54">
        <f t="shared" si="90"/>
        <v>13950.903201491568</v>
      </c>
      <c r="DT42" s="54">
        <f t="shared" si="90"/>
        <v>2101.606988741666</v>
      </c>
      <c r="DU42" s="54">
        <f t="shared" si="90"/>
        <v>3014.6636092439994</v>
      </c>
      <c r="DV42" s="54">
        <f t="shared" si="90"/>
        <v>4641.993442053524</v>
      </c>
      <c r="DW42" s="54">
        <f t="shared" si="90"/>
        <v>780.8876299399997</v>
      </c>
      <c r="DX42" s="54">
        <f t="shared" si="90"/>
        <v>360.28047306799994</v>
      </c>
      <c r="DY42" s="54">
        <f t="shared" si="90"/>
        <v>4015.2578631125007</v>
      </c>
      <c r="DZ42" s="54">
        <f t="shared" si="90"/>
        <v>401.92572218000004</v>
      </c>
      <c r="EA42" s="54">
        <f t="shared" si="90"/>
        <v>701.9231258483336</v>
      </c>
      <c r="EB42" s="93">
        <f t="shared" si="82"/>
        <v>38741.59378989826</v>
      </c>
      <c r="EC42" s="54">
        <f t="shared" si="90"/>
        <v>1575.6949490366665</v>
      </c>
      <c r="ED42" s="54">
        <f t="shared" si="90"/>
        <v>3666.461981703333</v>
      </c>
      <c r="EE42" s="54">
        <f t="shared" si="90"/>
        <v>3529.994803478666</v>
      </c>
      <c r="EF42" s="54">
        <f t="shared" si="90"/>
        <v>13075.53771186859</v>
      </c>
      <c r="EG42" s="54">
        <f t="shared" si="90"/>
        <v>2101.606988741666</v>
      </c>
      <c r="EH42" s="54">
        <f t="shared" si="90"/>
        <v>3014.6636092439994</v>
      </c>
      <c r="EI42" s="54">
        <f t="shared" si="90"/>
        <v>3947.7545372278096</v>
      </c>
      <c r="EJ42" s="54">
        <f t="shared" si="90"/>
        <v>785.9302516759997</v>
      </c>
      <c r="EK42" s="54">
        <f t="shared" si="90"/>
        <v>355.2378513319999</v>
      </c>
      <c r="EL42" s="54">
        <f t="shared" si="90"/>
        <v>3325.2180686685</v>
      </c>
      <c r="EM42" s="54">
        <f t="shared" si="90"/>
        <v>401.92572218000004</v>
      </c>
      <c r="EN42" s="54">
        <f t="shared" si="90"/>
        <v>701.9231258483336</v>
      </c>
      <c r="EO42" s="93">
        <f t="shared" si="83"/>
        <v>36481.94960100557</v>
      </c>
      <c r="EP42" s="54">
        <f t="shared" si="90"/>
        <v>1575.6949490366665</v>
      </c>
      <c r="EQ42" s="54">
        <f t="shared" si="90"/>
        <v>3666.461981703333</v>
      </c>
      <c r="ER42" s="54">
        <f t="shared" si="90"/>
        <v>3535.037425214666</v>
      </c>
      <c r="ES42" s="54">
        <f t="shared" si="90"/>
        <v>12421.118533559622</v>
      </c>
      <c r="ET42" s="54">
        <f t="shared" si="90"/>
        <v>2101.606988741666</v>
      </c>
      <c r="EU42" s="54">
        <f t="shared" si="90"/>
        <v>3009.620987508</v>
      </c>
      <c r="EV42" s="54">
        <f t="shared" si="90"/>
        <v>3363.4853393520957</v>
      </c>
      <c r="EW42" s="54">
        <f t="shared" si="90"/>
        <v>785.9302516759997</v>
      </c>
      <c r="EX42" s="54">
        <f t="shared" si="90"/>
        <v>355.2378513319999</v>
      </c>
      <c r="EY42" s="54">
        <f t="shared" si="90"/>
        <v>2662.2665390325</v>
      </c>
      <c r="EZ42" s="54">
        <f t="shared" si="90"/>
        <v>401.92572218000004</v>
      </c>
      <c r="FA42" s="54">
        <f t="shared" si="90"/>
        <v>701.9231258483336</v>
      </c>
      <c r="FB42" s="93">
        <f t="shared" si="84"/>
        <v>34580.30969518488</v>
      </c>
      <c r="FC42" s="54">
        <f t="shared" si="90"/>
        <v>1575.6949490366665</v>
      </c>
      <c r="FD42" s="54">
        <f t="shared" si="90"/>
        <v>3666.461981703333</v>
      </c>
      <c r="FE42" s="54">
        <f t="shared" si="90"/>
        <v>3535.037425214666</v>
      </c>
      <c r="FF42" s="54">
        <f t="shared" si="90"/>
        <v>11002.4748433881</v>
      </c>
      <c r="FG42" s="54">
        <f t="shared" si="90"/>
        <v>2101.606988741666</v>
      </c>
      <c r="FH42" s="54">
        <f t="shared" si="90"/>
        <v>3009.620987508</v>
      </c>
      <c r="FI42" s="54">
        <f t="shared" si="90"/>
        <v>2731.921969457809</v>
      </c>
      <c r="FJ42" s="54">
        <f t="shared" si="90"/>
        <v>785.9302516759997</v>
      </c>
      <c r="FK42" s="54">
        <f t="shared" si="90"/>
        <v>360.28047306799994</v>
      </c>
      <c r="FL42" s="54">
        <f t="shared" si="90"/>
        <v>2064.8679666705</v>
      </c>
      <c r="FM42" s="54">
        <f t="shared" si="90"/>
        <v>401.92572218000004</v>
      </c>
      <c r="FN42" s="54">
        <f t="shared" si="90"/>
        <v>701.9231258483336</v>
      </c>
      <c r="FO42" s="93">
        <f t="shared" si="85"/>
        <v>31937.746684493075</v>
      </c>
      <c r="FP42" s="54">
        <f aca="true" t="shared" si="91" ref="FP42:GN42">FP43+FP44+FP45+FP46+FP47+FP48+FP49+FP50+FP51+FP52+FP53+FP54</f>
        <v>1581.3769490366665</v>
      </c>
      <c r="FQ42" s="54">
        <f t="shared" si="91"/>
        <v>3666.461981703333</v>
      </c>
      <c r="FR42" s="54">
        <f t="shared" si="91"/>
        <v>3535.037425214666</v>
      </c>
      <c r="FS42" s="54">
        <f t="shared" si="91"/>
        <v>10752.992914827737</v>
      </c>
      <c r="FT42" s="54">
        <f t="shared" si="91"/>
        <v>2101.606988741666</v>
      </c>
      <c r="FU42" s="54">
        <f t="shared" si="91"/>
        <v>3014.6636092439994</v>
      </c>
      <c r="FV42" s="54">
        <f t="shared" si="91"/>
        <v>2324.629355897524</v>
      </c>
      <c r="FW42" s="54">
        <f t="shared" si="91"/>
        <v>868.5944798259997</v>
      </c>
      <c r="FX42" s="54">
        <f t="shared" si="91"/>
        <v>360.28047306799994</v>
      </c>
      <c r="FY42" s="54">
        <f t="shared" si="91"/>
        <v>1764.1927667110003</v>
      </c>
      <c r="FZ42" s="54">
        <f t="shared" si="91"/>
        <v>397.1522288975001</v>
      </c>
      <c r="GA42" s="54">
        <f t="shared" si="91"/>
        <v>807.9743388233331</v>
      </c>
      <c r="GB42" s="93">
        <f t="shared" si="86"/>
        <v>31174.963511991424</v>
      </c>
      <c r="GC42" s="54">
        <f t="shared" si="91"/>
        <v>1575.6949490366665</v>
      </c>
      <c r="GD42" s="54">
        <f t="shared" si="91"/>
        <v>3666.461981703333</v>
      </c>
      <c r="GE42" s="54">
        <f t="shared" si="91"/>
        <v>3535.037425214666</v>
      </c>
      <c r="GF42" s="54">
        <f t="shared" si="91"/>
        <v>11162.242801042103</v>
      </c>
      <c r="GG42" s="54">
        <f t="shared" si="91"/>
        <v>2101.606988741666</v>
      </c>
      <c r="GH42" s="54">
        <f t="shared" si="91"/>
        <v>3014.6636092439994</v>
      </c>
      <c r="GI42" s="54">
        <f t="shared" si="91"/>
        <v>2660.180748022019</v>
      </c>
      <c r="GJ42" s="54">
        <f t="shared" si="91"/>
        <v>780.8876299399997</v>
      </c>
      <c r="GK42" s="54">
        <f t="shared" si="91"/>
        <v>360.28047306799994</v>
      </c>
      <c r="GL42" s="54">
        <f t="shared" si="91"/>
        <v>1615.880713921</v>
      </c>
      <c r="GM42" s="54">
        <f t="shared" si="91"/>
        <v>401.92572218000004</v>
      </c>
      <c r="GN42" s="54">
        <f t="shared" si="91"/>
        <v>701.7112147283337</v>
      </c>
      <c r="GO42" s="93">
        <f t="shared" si="16"/>
        <v>31576.574256841788</v>
      </c>
      <c r="GP42" s="54">
        <f aca="true" t="shared" si="92" ref="GP42:HA42">GP43+GP44+GP45+GP46+GP47+GP48+GP49+GP50+GP51+GP52+GP53+GP54</f>
        <v>1575.6949490366665</v>
      </c>
      <c r="GQ42" s="54">
        <f t="shared" si="92"/>
        <v>3666.461981703333</v>
      </c>
      <c r="GR42" s="54">
        <f t="shared" si="92"/>
        <v>3529.994803478666</v>
      </c>
      <c r="GS42" s="54">
        <f t="shared" si="92"/>
        <v>11400.134503815876</v>
      </c>
      <c r="GT42" s="54">
        <f t="shared" si="92"/>
        <v>2101.606988741666</v>
      </c>
      <c r="GU42" s="54">
        <f t="shared" si="92"/>
        <v>3014.6636092439994</v>
      </c>
      <c r="GV42" s="54">
        <f t="shared" si="92"/>
        <v>2512.7514443386926</v>
      </c>
      <c r="GW42" s="54">
        <f t="shared" si="92"/>
        <v>780.8876299399997</v>
      </c>
      <c r="GX42" s="54">
        <f t="shared" si="92"/>
        <v>360.28047306799994</v>
      </c>
      <c r="GY42" s="54">
        <f t="shared" si="92"/>
        <v>1484.1040917570003</v>
      </c>
      <c r="GZ42" s="54">
        <f t="shared" si="92"/>
        <v>401.92572218000004</v>
      </c>
      <c r="HA42" s="54">
        <f t="shared" si="92"/>
        <v>701.7112147283337</v>
      </c>
      <c r="HB42" s="93">
        <f t="shared" si="87"/>
        <v>31530.217412032234</v>
      </c>
      <c r="HC42" s="49">
        <f t="shared" si="19"/>
        <v>487349.7605545857</v>
      </c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93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93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  <c r="IO42" s="93"/>
      <c r="IP42" s="54"/>
      <c r="IQ42" s="54"/>
      <c r="IR42" s="54"/>
      <c r="IS42" s="54"/>
      <c r="IT42" s="54"/>
      <c r="IU42" s="54"/>
      <c r="IV42" s="54"/>
    </row>
    <row r="43" spans="2:256" ht="14.25" outlineLevel="3">
      <c r="B43" s="98" t="s">
        <v>439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9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9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>
        <f>AM10/120*20-(AM14+AM15+AM16+AM17+AM19+AM20+AM22+AM26+AM27+AM30+AM31+AM32+AM37+AM38+AM39+AM40)/120*20</f>
        <v>277.64441164999994</v>
      </c>
      <c r="AO43" s="93">
        <f t="shared" si="0"/>
        <v>277.64441164999994</v>
      </c>
      <c r="AP43" s="53">
        <f>AN10/120*20-(AN14+AN15+AN16+AN17+AN19+AN20+AN22+AN26+AN27+AN30+AN31+AN32+AN37+AN38+AN39+AN40)/120*20</f>
        <v>433.75030825833346</v>
      </c>
      <c r="AQ43" s="53">
        <f aca="true" t="shared" si="93" ref="AQ43:AW43">AP10/120*20-(AP14+AP15+AP16+AP17+AP19+AP20+AP22+AP26+AP27+AP30+AP31+AP32+AP37+AP38+AP39+AP40)/120*20</f>
        <v>1151.461152833333</v>
      </c>
      <c r="AR43" s="53">
        <f t="shared" si="93"/>
        <v>1513.3822798</v>
      </c>
      <c r="AS43" s="53">
        <f t="shared" si="93"/>
        <v>1448.1488379333337</v>
      </c>
      <c r="AT43" s="53">
        <f t="shared" si="93"/>
        <v>844.9558062749995</v>
      </c>
      <c r="AU43" s="53">
        <f t="shared" si="93"/>
        <v>1243.6265035333333</v>
      </c>
      <c r="AV43" s="53">
        <f t="shared" si="93"/>
        <v>321.05417084999993</v>
      </c>
      <c r="AW43" s="53">
        <f t="shared" si="93"/>
        <v>29.39307709999997</v>
      </c>
      <c r="AX43" s="53"/>
      <c r="AY43" s="53"/>
      <c r="AZ43" s="53"/>
      <c r="BA43" s="53">
        <f>AZ10/120*20-(AZ14+AZ15+AZ16+AZ17+AZ19+AZ20+AZ22+AZ26+AZ27+AZ30+AZ31+AZ32+AZ37+AZ38+AZ39+AZ40)/120*20</f>
        <v>278.08704933333365</v>
      </c>
      <c r="BB43" s="93">
        <f t="shared" si="2"/>
        <v>7263.859185916666</v>
      </c>
      <c r="BC43" s="53">
        <f>BA10/120*20-(BA14+BA15+BA16+BA17+BA19+BA20+BA22+BA26+BA27+BA30+BA31+BA32+BA37+BA38+BA39+BA40)/120*20</f>
        <v>1011.3986456499997</v>
      </c>
      <c r="BD43" s="53">
        <f aca="true" t="shared" si="94" ref="BD43:BJ43">BC10/120*20-(BC14+BC15+BC16+BC17+BC19+BC20+BC22+BC26+BC27+BC30+BC31+BC32+BC37+BC38+BC39+BC40)/120*20</f>
        <v>3104.849349983333</v>
      </c>
      <c r="BE43" s="53">
        <f t="shared" si="94"/>
        <v>3011.804830066666</v>
      </c>
      <c r="BF43" s="53">
        <f t="shared" si="94"/>
        <v>2479.992716149999</v>
      </c>
      <c r="BG43" s="53">
        <f t="shared" si="94"/>
        <v>1741.8468364416658</v>
      </c>
      <c r="BH43" s="53">
        <f t="shared" si="94"/>
        <v>2634.7329699999996</v>
      </c>
      <c r="BI43" s="53">
        <f t="shared" si="94"/>
        <v>616.1512184666665</v>
      </c>
      <c r="BJ43" s="53">
        <f t="shared" si="94"/>
        <v>222.65585579999993</v>
      </c>
      <c r="BK43" s="53"/>
      <c r="BL43" s="53"/>
      <c r="BM43" s="53"/>
      <c r="BN43" s="53">
        <f>BM10/120*20-(BM14+BM15+BM16+BM17+BM19+BM20+BM22+BM26+BM27+BM30+BM31+BM32+BM37+BM38+BM39+BM40)/120*20</f>
        <v>278.08704933333365</v>
      </c>
      <c r="BO43" s="93">
        <f t="shared" si="4"/>
        <v>15101.519471891665</v>
      </c>
      <c r="BP43" s="53">
        <f>BN10/120*20-(BN14+BN15+BN16+BN17+BN19+BN20+BN22+BN26+BN27+BN30+BN31+BN32+BN37+BN38+BN39+BN40)/120*20</f>
        <v>1011.3986173166663</v>
      </c>
      <c r="BQ43" s="53">
        <f aca="true" t="shared" si="95" ref="BQ43:BW43">BP10/120*20-(BP14+BP15+BP16+BP17+BP19+BP20+BP22+BP26+BP27+BP30+BP31+BP32+BP37+BP38+BP39+BP40)/120*20</f>
        <v>3104.849349983333</v>
      </c>
      <c r="BR43" s="53">
        <f t="shared" si="95"/>
        <v>3011.804830066666</v>
      </c>
      <c r="BS43" s="53">
        <f t="shared" si="95"/>
        <v>2386.827010174999</v>
      </c>
      <c r="BT43" s="53">
        <f t="shared" si="95"/>
        <v>1741.8468364416658</v>
      </c>
      <c r="BU43" s="53">
        <f t="shared" si="95"/>
        <v>2634.7329699999996</v>
      </c>
      <c r="BV43" s="53">
        <f t="shared" si="95"/>
        <v>704.9660466166665</v>
      </c>
      <c r="BW43" s="53">
        <f t="shared" si="95"/>
        <v>222.65585579999993</v>
      </c>
      <c r="BX43" s="53"/>
      <c r="BY43" s="53"/>
      <c r="BZ43" s="53"/>
      <c r="CA43" s="53">
        <f>BZ10/120*20-(BZ14+BZ15+BZ16+BZ17+BZ19+BZ20+BZ22+BZ26+BZ27+BZ30+BZ31+BZ32+BZ37+BZ38+BZ39+BZ40)/120*20</f>
        <v>278.08704933333365</v>
      </c>
      <c r="CB43" s="93">
        <f>CA43+BZ43+BY43+BX43+BW43+BV43+BU43+BT43+BS43+BR43+BQ43+BP43</f>
        <v>15097.168565733331</v>
      </c>
      <c r="CC43" s="53">
        <f>CA10/120*20-(CA14+CA15+CA16+CA17+CA19+CA20+CA22+CA26+CA27+CA30+CA31+CA32+CA37+CA38+CA39+CA40)/120*20</f>
        <v>1011.3986173166663</v>
      </c>
      <c r="CD43" s="53">
        <f aca="true" t="shared" si="96" ref="CD43:CJ43">CC10/120*20-(CC14+CC15+CC16+CC17+CC19+CC20+CC22+CC26+CC27+CC30+CC31+CC32+CC37+CC38+CC39+CC40)/120*20</f>
        <v>3104.849349983333</v>
      </c>
      <c r="CE43" s="53">
        <f t="shared" si="96"/>
        <v>3011.804830066666</v>
      </c>
      <c r="CF43" s="53">
        <f t="shared" si="96"/>
        <v>2386.827010174999</v>
      </c>
      <c r="CG43" s="53">
        <f t="shared" si="96"/>
        <v>1741.8468364416658</v>
      </c>
      <c r="CH43" s="53">
        <f t="shared" si="96"/>
        <v>2634.7329699999996</v>
      </c>
      <c r="CI43" s="53">
        <f t="shared" si="96"/>
        <v>704.9660466166665</v>
      </c>
      <c r="CJ43" s="53">
        <f t="shared" si="96"/>
        <v>222.65585579999993</v>
      </c>
      <c r="CK43" s="53"/>
      <c r="CL43" s="53"/>
      <c r="CM43" s="53"/>
      <c r="CN43" s="53">
        <f>CM10/120*20-(CM14+CM15+CM16+CM17+CM19+CM20+CM22+CM26+CM27+CM30+CM31+CM32+CM37+CM38+CM39+CM40)/120*20</f>
        <v>278.08704933333365</v>
      </c>
      <c r="CO43" s="93">
        <f t="shared" si="88"/>
        <v>15097.168565733331</v>
      </c>
      <c r="CP43" s="53">
        <f>CN10/120*20-(CN14+CN15+CN16+CN17+CN19+CN20+CN22+CN26+CN27+CN30+CN31+CN32+CN37+CN38+CN39+CN40)/120*20</f>
        <v>1011.3986173166663</v>
      </c>
      <c r="CQ43" s="53">
        <f aca="true" t="shared" si="97" ref="CQ43:CW43">CP10/120*20-(CP14+CP15+CP16+CP17+CP19+CP20+CP22+CP26+CP27+CP30+CP31+CP32+CP37+CP38+CP39+CP40)/120*20</f>
        <v>3104.849349983333</v>
      </c>
      <c r="CR43" s="53">
        <f t="shared" si="97"/>
        <v>3011.804830066666</v>
      </c>
      <c r="CS43" s="53">
        <f t="shared" si="97"/>
        <v>2386.827010174999</v>
      </c>
      <c r="CT43" s="53">
        <f t="shared" si="97"/>
        <v>1741.8468364416658</v>
      </c>
      <c r="CU43" s="53">
        <f t="shared" si="97"/>
        <v>2634.7329699999996</v>
      </c>
      <c r="CV43" s="53">
        <f t="shared" si="97"/>
        <v>616.1512184666665</v>
      </c>
      <c r="CW43" s="53">
        <f t="shared" si="97"/>
        <v>305.3200839499999</v>
      </c>
      <c r="CX43" s="53"/>
      <c r="CY43" s="53"/>
      <c r="CZ43" s="53"/>
      <c r="DA43" s="53">
        <f>CZ10/120*20-(CZ14+CZ15+CZ16+CZ17+CZ19+CZ20+CZ22+CZ26+CZ27+CZ30+CZ31+CZ32+CZ37+CZ38+CZ39+CZ40)/120*20</f>
        <v>384.1382623083332</v>
      </c>
      <c r="DB43" s="93">
        <f t="shared" si="80"/>
        <v>15197.069178708329</v>
      </c>
      <c r="DC43" s="53">
        <f>DA10/120*20-(DA14+DA15+DA16+DA17+DA19+DA20+DA22+DA26+DA27+DA30+DA31+DA32+DA37+DA38+DA39+DA40)/120*20</f>
        <v>1011.3986173166663</v>
      </c>
      <c r="DD43" s="53">
        <f aca="true" t="shared" si="98" ref="DD43:DJ43">DC10/120*20-(DC14+DC15+DC16+DC17+DC19+DC20+DC22+DC26+DC27+DC30+DC31+DC32+DC37+DC38+DC39+DC40)/120*20</f>
        <v>3104.849349983333</v>
      </c>
      <c r="DE43" s="53">
        <f t="shared" si="98"/>
        <v>3011.804830066666</v>
      </c>
      <c r="DF43" s="53">
        <f t="shared" si="98"/>
        <v>2386.827010174999</v>
      </c>
      <c r="DG43" s="53">
        <f t="shared" si="98"/>
        <v>1741.8468364416658</v>
      </c>
      <c r="DH43" s="53">
        <f t="shared" si="98"/>
        <v>2634.7329699999996</v>
      </c>
      <c r="DI43" s="53">
        <f t="shared" si="98"/>
        <v>616.1512184666665</v>
      </c>
      <c r="DJ43" s="53">
        <f t="shared" si="98"/>
        <v>305.3200839499999</v>
      </c>
      <c r="DK43" s="53"/>
      <c r="DL43" s="53"/>
      <c r="DM43" s="53"/>
      <c r="DN43" s="53">
        <f>DM10/120*20-(DM14+DM15+DM16+DM17+DM19+DM20+DM22+DM26+DM27+DM30+DM31+DM32+DM37+DM38+DM39+DM40)/120*20</f>
        <v>278.08704933333365</v>
      </c>
      <c r="DO43" s="93">
        <f t="shared" si="81"/>
        <v>15091.01796573333</v>
      </c>
      <c r="DP43" s="53">
        <f>DN10/120*20-(DN14+DN15+DN16+DN17+DN19+DN20+DN22+DN26+DN27+DN30+DN31+DN32+DN37+DN38+DN39+DN40)/120*20</f>
        <v>1011.3986173166663</v>
      </c>
      <c r="DQ43" s="53">
        <f aca="true" t="shared" si="99" ref="DQ43:DW43">DP10/120*20-(DP14+DP15+DP16+DP17+DP19+DP20+DP22+DP26+DP27+DP30+DP31+DP32+DP37+DP38+DP39+DP40)/120*20</f>
        <v>3104.849349983333</v>
      </c>
      <c r="DR43" s="53">
        <f t="shared" si="99"/>
        <v>3011.804830066666</v>
      </c>
      <c r="DS43" s="53">
        <f t="shared" si="99"/>
        <v>2479.992716149999</v>
      </c>
      <c r="DT43" s="53">
        <f t="shared" si="99"/>
        <v>1741.8468364416658</v>
      </c>
      <c r="DU43" s="53">
        <f t="shared" si="99"/>
        <v>2634.7329699999996</v>
      </c>
      <c r="DV43" s="53">
        <f t="shared" si="99"/>
        <v>616.1512184666665</v>
      </c>
      <c r="DW43" s="53">
        <f t="shared" si="99"/>
        <v>222.65585579999993</v>
      </c>
      <c r="DX43" s="53"/>
      <c r="DY43" s="53"/>
      <c r="DZ43" s="53"/>
      <c r="EA43" s="53">
        <f>DZ10/120*20-(DZ14+DZ15+DZ16+DZ17+DZ19+DZ20+DZ22+DZ26+DZ27+DZ30+DZ31+DZ32+DZ37+DZ38+DZ39+DZ40+DZ71+DZ75)/120*20</f>
        <v>278.08704933333365</v>
      </c>
      <c r="EB43" s="93">
        <f t="shared" si="82"/>
        <v>15101.51944355833</v>
      </c>
      <c r="EC43" s="53">
        <f>EA10/120*20-(EA14+EA15+EA16+EA17+EA19+EA20+EA22+EA26+EA27+EA30+EA31+EA32+EA37+EA38+EA39+EA40)/120*20</f>
        <v>1011.3986173166663</v>
      </c>
      <c r="ED43" s="53">
        <f aca="true" t="shared" si="100" ref="ED43:EJ43">EC10/120*20-(EC14+EC15+EC16+EC17+EC19+EC20+EC22+EC26+EC27+EC30+EC31+EC32+EC37+EC38+EC39+EC40)/120*20</f>
        <v>3104.849349983333</v>
      </c>
      <c r="EE43" s="53">
        <f t="shared" si="100"/>
        <v>3011.804830066666</v>
      </c>
      <c r="EF43" s="53">
        <f t="shared" si="100"/>
        <v>2479.992716149999</v>
      </c>
      <c r="EG43" s="53">
        <f t="shared" si="100"/>
        <v>1741.8468364416658</v>
      </c>
      <c r="EH43" s="53">
        <f t="shared" si="100"/>
        <v>2634.7329699999996</v>
      </c>
      <c r="EI43" s="53">
        <f t="shared" si="100"/>
        <v>616.1512184666665</v>
      </c>
      <c r="EJ43" s="53">
        <f t="shared" si="100"/>
        <v>222.65585579999993</v>
      </c>
      <c r="EK43" s="53"/>
      <c r="EL43" s="53"/>
      <c r="EM43" s="53"/>
      <c r="EN43" s="53">
        <f>EM10/120*20-(EM14+EM15+EM16+EM17+EM19+EM20+EM22+EM26+EM27+EM30+EM31+EM32+EM37+EM38+EM39+EM40)/120*20</f>
        <v>278.08704933333365</v>
      </c>
      <c r="EO43" s="93">
        <f t="shared" si="83"/>
        <v>15101.51944355833</v>
      </c>
      <c r="EP43" s="53">
        <f>EN10/120*20-(EN14+EN15+EN16+EN17+EN19+EN20+EN22+EN26+EN27+EN30+EN31+EN32+EN37+EN38+EN39+EN40)/120*20</f>
        <v>1011.3986173166663</v>
      </c>
      <c r="EQ43" s="53">
        <f aca="true" t="shared" si="101" ref="EQ43:EW43">EP10/120*20-(EP14+EP15+EP16+EP17+EP19+EP20+EP22+EP26+EP27+EP30+EP31+EP32+EP37+EP38+EP39+EP40)/120*20</f>
        <v>3104.849349983333</v>
      </c>
      <c r="ER43" s="53">
        <f t="shared" si="101"/>
        <v>3011.804830066666</v>
      </c>
      <c r="ES43" s="53">
        <f t="shared" si="101"/>
        <v>2386.827010174999</v>
      </c>
      <c r="ET43" s="53">
        <f t="shared" si="101"/>
        <v>1741.8468364416658</v>
      </c>
      <c r="EU43" s="53">
        <f t="shared" si="101"/>
        <v>2634.7329699999996</v>
      </c>
      <c r="EV43" s="53">
        <f t="shared" si="101"/>
        <v>704.9660466166665</v>
      </c>
      <c r="EW43" s="53">
        <f t="shared" si="101"/>
        <v>222.65585579999993</v>
      </c>
      <c r="EX43" s="53"/>
      <c r="EY43" s="53"/>
      <c r="EZ43" s="53"/>
      <c r="FA43" s="53">
        <f>EZ10/120*20-(EZ14+EZ15+EZ16+EZ17+EZ19+EZ20+EZ22+EZ26+EZ27+EZ30+EZ31+EZ32+EZ37+EZ38+EZ39+EZ40)/120*20</f>
        <v>278.08704933333365</v>
      </c>
      <c r="FB43" s="93">
        <f t="shared" si="84"/>
        <v>15097.168565733331</v>
      </c>
      <c r="FC43" s="53">
        <f>FA10/120*20-(FA14+FA15+FA16+FA17+FA19+FA20+FA22+FA26+FA27+FA30+FA31+FA32+FA37+FA38+FA39+FA40)/120*20</f>
        <v>1011.3986173166663</v>
      </c>
      <c r="FD43" s="53">
        <f aca="true" t="shared" si="102" ref="FD43:FJ43">FC10/120*20-(FC14+FC15+FC16+FC17+FC19+FC20+FC22+FC26+FC27+FC30+FC31+FC32+FC37+FC38+FC39+FC40)/120*20</f>
        <v>3104.849349983333</v>
      </c>
      <c r="FE43" s="53">
        <f t="shared" si="102"/>
        <v>3011.804830066666</v>
      </c>
      <c r="FF43" s="53">
        <f t="shared" si="102"/>
        <v>2386.827010174999</v>
      </c>
      <c r="FG43" s="53">
        <f t="shared" si="102"/>
        <v>1741.8468364416658</v>
      </c>
      <c r="FH43" s="53">
        <f t="shared" si="102"/>
        <v>2634.7329699999996</v>
      </c>
      <c r="FI43" s="53">
        <f t="shared" si="102"/>
        <v>704.9660466166665</v>
      </c>
      <c r="FJ43" s="53">
        <f t="shared" si="102"/>
        <v>222.65585579999993</v>
      </c>
      <c r="FK43" s="53"/>
      <c r="FL43" s="53"/>
      <c r="FM43" s="53"/>
      <c r="FN43" s="53">
        <f>FM10/120*20-(FM14+FM15+FM16+FM17+FM19+FM20+FM22+FM26+FM27+FM30+FM31+FM32+FM37+FM38+FM39+FM40)/120*20</f>
        <v>278.08704933333365</v>
      </c>
      <c r="FO43" s="93">
        <f t="shared" si="85"/>
        <v>15097.168565733331</v>
      </c>
      <c r="FP43" s="53">
        <f>FN10/120*20-(FN14+FN15+FN16+FN17+FN19+FN20+FN22+FN26+FN27+FN30+FN31+FN32+FN37+FN38+FN39+FN40)/120*20</f>
        <v>1011.3986173166663</v>
      </c>
      <c r="FQ43" s="53">
        <f aca="true" t="shared" si="103" ref="FQ43:FW43">FP10/120*20-(FP14+FP15+FP16+FP17+FP19+FP20+FP22+FP26+FP27+FP30+FP31+FP32+FP37+FP38+FP39+FP40)/120*20</f>
        <v>3104.849349983333</v>
      </c>
      <c r="FR43" s="53">
        <f t="shared" si="103"/>
        <v>3011.804830066666</v>
      </c>
      <c r="FS43" s="53">
        <f t="shared" si="103"/>
        <v>2386.827010174999</v>
      </c>
      <c r="FT43" s="53">
        <f t="shared" si="103"/>
        <v>1741.8468364416658</v>
      </c>
      <c r="FU43" s="53">
        <f t="shared" si="103"/>
        <v>2634.7329699999996</v>
      </c>
      <c r="FV43" s="53">
        <f t="shared" si="103"/>
        <v>616.1512184666665</v>
      </c>
      <c r="FW43" s="53">
        <f t="shared" si="103"/>
        <v>305.3200839499999</v>
      </c>
      <c r="FX43" s="53"/>
      <c r="FY43" s="53"/>
      <c r="FZ43" s="53"/>
      <c r="GA43" s="53">
        <f>FZ10/120*20-(FZ14+FZ15+FZ16+FZ17+FZ19+FZ20+FZ22+FZ26+FZ27+FZ30+FZ31+FZ32+FZ37+FZ38+FZ39+FZ40)/120*20</f>
        <v>384.1382623083332</v>
      </c>
      <c r="GB43" s="93">
        <f t="shared" si="86"/>
        <v>15197.069178708329</v>
      </c>
      <c r="GC43" s="53">
        <f>GA10/120*20-(GA14+GA15+GA16+GA17+GA19+GA20+GA22+GA26+GA27+GA30+GA31+GA32+GA37+GA38+GA39+GA40)/120*20</f>
        <v>1011.3986173166663</v>
      </c>
      <c r="GD43" s="53">
        <f aca="true" t="shared" si="104" ref="GD43:GJ43">GC10/120*20-(GC14+GC15+GC16+GC17+GC19+GC20+GC22+GC26+GC27+GC30+GC31+GC32+GC37+GC38+GC39+GC40)/120*20</f>
        <v>3104.849349983333</v>
      </c>
      <c r="GE43" s="53">
        <f t="shared" si="104"/>
        <v>3011.804830066666</v>
      </c>
      <c r="GF43" s="53">
        <f t="shared" si="104"/>
        <v>2386.827010174999</v>
      </c>
      <c r="GG43" s="53">
        <f t="shared" si="104"/>
        <v>1741.8468364416658</v>
      </c>
      <c r="GH43" s="53">
        <f t="shared" si="104"/>
        <v>2634.7329699999996</v>
      </c>
      <c r="GI43" s="53">
        <f t="shared" si="104"/>
        <v>616.1512184666665</v>
      </c>
      <c r="GJ43" s="53">
        <f t="shared" si="104"/>
        <v>222.65585579999993</v>
      </c>
      <c r="GK43" s="53"/>
      <c r="GL43" s="53"/>
      <c r="GM43" s="53"/>
      <c r="GN43" s="53">
        <f>GM10/120*20-(GM14+GM15+GM16+GM17+GM19+GM20+GM22+GM26+GM27+GM30+GM31+GM32+GM37+GM38+GM39+GM40)/120*20</f>
        <v>278.08704933333365</v>
      </c>
      <c r="GO43" s="93">
        <f t="shared" si="16"/>
        <v>15008.353737583331</v>
      </c>
      <c r="GP43" s="53">
        <f>GN10/120*20-(GN14+GN15+GN16+GN17+GN19+GN20+GN22+GN26+GN27+GN30+GN31+GN32+GN37+GN38+GN39+GN40)/120*20</f>
        <v>1011.3986173166663</v>
      </c>
      <c r="GQ43" s="53">
        <f aca="true" t="shared" si="105" ref="GQ43:GW43">GP10/120*20-(GP14+GP15+GP16+GP17+GP19+GP20+GP22+GP26+GP27+GP30+GP31+GP32+GP37+GP38+GP39+GP40)/120*20</f>
        <v>3104.849349983333</v>
      </c>
      <c r="GR43" s="53">
        <f t="shared" si="105"/>
        <v>3011.804830066666</v>
      </c>
      <c r="GS43" s="53">
        <f t="shared" si="105"/>
        <v>2479.992716149999</v>
      </c>
      <c r="GT43" s="53">
        <f t="shared" si="105"/>
        <v>1741.8468364416658</v>
      </c>
      <c r="GU43" s="53">
        <f t="shared" si="105"/>
        <v>2634.7329699999996</v>
      </c>
      <c r="GV43" s="53">
        <f t="shared" si="105"/>
        <v>616.1512184666665</v>
      </c>
      <c r="GW43" s="53">
        <f t="shared" si="105"/>
        <v>222.65585579999993</v>
      </c>
      <c r="GX43" s="53"/>
      <c r="GY43" s="53"/>
      <c r="GZ43" s="53"/>
      <c r="HA43" s="53">
        <f>GZ10/120*20-(GZ14+GZ15+GZ16+GZ17+GZ19+GZ20+GZ22+GZ26+GZ27+GZ30+GZ31+GZ32+GZ37+GZ38+GZ39+GZ40)/120*20</f>
        <v>278.08704933333365</v>
      </c>
      <c r="HB43" s="93">
        <f t="shared" si="87"/>
        <v>15101.51944355833</v>
      </c>
      <c r="HC43" s="49">
        <f t="shared" si="19"/>
        <v>188829.76572379994</v>
      </c>
      <c r="HD43" s="53"/>
      <c r="HE43" s="53"/>
      <c r="HF43" s="53"/>
      <c r="HG43" s="53"/>
      <c r="HH43" s="53"/>
      <c r="HI43" s="53"/>
      <c r="HJ43" s="53"/>
      <c r="HK43" s="53"/>
      <c r="HL43" s="53"/>
      <c r="HM43" s="53"/>
      <c r="HN43" s="53"/>
      <c r="HO43" s="93"/>
      <c r="HP43" s="53"/>
      <c r="HQ43" s="53"/>
      <c r="HR43" s="53"/>
      <c r="HS43" s="53"/>
      <c r="HT43" s="53"/>
      <c r="HU43" s="53"/>
      <c r="HV43" s="53"/>
      <c r="HW43" s="53"/>
      <c r="HX43" s="53"/>
      <c r="HY43" s="53"/>
      <c r="HZ43" s="53"/>
      <c r="IA43" s="53"/>
      <c r="IB43" s="93"/>
      <c r="IC43" s="53"/>
      <c r="ID43" s="53"/>
      <c r="IE43" s="53"/>
      <c r="IF43" s="53"/>
      <c r="IG43" s="53"/>
      <c r="IH43" s="53"/>
      <c r="II43" s="53"/>
      <c r="IJ43" s="53"/>
      <c r="IK43" s="53"/>
      <c r="IL43" s="53"/>
      <c r="IM43" s="53"/>
      <c r="IN43" s="53"/>
      <c r="IO43" s="93"/>
      <c r="IP43" s="53"/>
      <c r="IQ43" s="53"/>
      <c r="IR43" s="53"/>
      <c r="IS43" s="53"/>
      <c r="IT43" s="53"/>
      <c r="IU43" s="53"/>
      <c r="IV43" s="53"/>
    </row>
    <row r="44" spans="2:256" ht="14.25" outlineLevel="3">
      <c r="B44" s="98" t="s">
        <v>401</v>
      </c>
      <c r="C44" s="53"/>
      <c r="D44" s="53"/>
      <c r="E44" s="53"/>
      <c r="F44" s="53"/>
      <c r="G44" s="53"/>
      <c r="H44" s="53"/>
      <c r="I44" s="53"/>
      <c r="J44" s="53"/>
      <c r="K44" s="53">
        <f>'Штатное расписание'!D572/1000</f>
        <v>102.50534132000001</v>
      </c>
      <c r="L44" s="53">
        <f>'Штатное расписание'!E572/1000</f>
        <v>102.50534132000001</v>
      </c>
      <c r="M44" s="53">
        <f>'Штатное расписание'!F572/1000</f>
        <v>99.4236569</v>
      </c>
      <c r="N44" s="53">
        <f>'Штатное расписание'!G572/1000</f>
        <v>84.77971637999998</v>
      </c>
      <c r="O44" s="93">
        <f>N44+M44+L44+K44</f>
        <v>389.21405592</v>
      </c>
      <c r="P44" s="53">
        <f>'Штатное расписание'!H572/1000</f>
        <v>102.50534132000001</v>
      </c>
      <c r="Q44" s="53">
        <f>'Штатное расписание'!I572/1000</f>
        <v>102.50534132000001</v>
      </c>
      <c r="R44" s="53">
        <f>'Штатное расписание'!J572/1000</f>
        <v>99.4236569</v>
      </c>
      <c r="S44" s="53">
        <f>'Штатное расписание'!K572/1000</f>
        <v>84.77971637999998</v>
      </c>
      <c r="T44" s="53">
        <f>'Штатное расписание'!L572/1000</f>
        <v>51.93151398000002</v>
      </c>
      <c r="U44" s="53">
        <f>'Штатное расписание'!M572/1000</f>
        <v>51.93151398000002</v>
      </c>
      <c r="V44" s="53">
        <f>'Штатное расписание'!N572/1000</f>
        <v>51.93151398000002</v>
      </c>
      <c r="W44" s="53">
        <f>'Штатное расписание'!O572/1000</f>
        <v>51.93151398000002</v>
      </c>
      <c r="X44" s="54">
        <f>'Штатное расписание'!D581/1000</f>
        <v>228.5446051</v>
      </c>
      <c r="Y44" s="54">
        <f>'Штатное расписание'!E581/1000</f>
        <v>228.5446051</v>
      </c>
      <c r="Z44" s="54">
        <f>'Штатное расписание'!F581/1000</f>
        <v>228.5446051</v>
      </c>
      <c r="AA44" s="54">
        <f>'Штатное расписание'!G581/1000</f>
        <v>228.5446051</v>
      </c>
      <c r="AB44" s="93">
        <f>AA44+Z44+Y44+X44+W44+V44+U44+T44+S44+R44+Q44+P44</f>
        <v>1511.1185322400004</v>
      </c>
      <c r="AC44" s="53">
        <f>'Штатное расписание'!H581/1000</f>
        <v>279.11843244</v>
      </c>
      <c r="AD44" s="53">
        <f>'Штатное расписание'!I581/1000</f>
        <v>279.11843244</v>
      </c>
      <c r="AE44" s="53">
        <f>'Штатное расписание'!J581/1000</f>
        <v>276.03674802</v>
      </c>
      <c r="AF44" s="53">
        <f>'Штатное расписание'!K581/1000</f>
        <v>261.3928075</v>
      </c>
      <c r="AG44" s="53">
        <f>'Штатное расписание'!L581/1000</f>
        <v>228.54460510000007</v>
      </c>
      <c r="AH44" s="53">
        <f>'Штатное расписание'!M581/1000</f>
        <v>228.54460510000007</v>
      </c>
      <c r="AI44" s="53">
        <f>'Штатное расписание'!N581/1000</f>
        <v>219.8217577400001</v>
      </c>
      <c r="AJ44" s="53">
        <f>'Штатное расписание'!O581/1000</f>
        <v>253.98954141999997</v>
      </c>
      <c r="AK44" s="53">
        <f>'Штатное расписание'!D593/1000</f>
        <v>340.051123012</v>
      </c>
      <c r="AL44" s="53">
        <f>'Штатное расписание'!E593/1000</f>
        <v>326.41321994800006</v>
      </c>
      <c r="AM44" s="53">
        <f>'Штатное расписание'!F593/1000</f>
        <v>336.49846342000006</v>
      </c>
      <c r="AN44" s="53">
        <f>'Штатное расписание'!G593/1000</f>
        <v>361.7115721000001</v>
      </c>
      <c r="AO44" s="93">
        <f t="shared" si="0"/>
        <v>3391.2413082400008</v>
      </c>
      <c r="AP44" s="53">
        <f>'Штатное расписание'!H593/1000</f>
        <v>482.726135</v>
      </c>
      <c r="AQ44" s="53">
        <f>'Штатное расписание'!I593/1000</f>
        <v>452.470404584</v>
      </c>
      <c r="AR44" s="53">
        <f>'Штатное расписание'!J593/1000</f>
        <v>432.461468468</v>
      </c>
      <c r="AS44" s="53">
        <f>'Штатное расписание'!K593/1000</f>
        <v>419.616914436</v>
      </c>
      <c r="AT44" s="53">
        <f>'Штатное расписание'!L593/1000</f>
        <v>331.29987294000017</v>
      </c>
      <c r="AU44" s="53">
        <f>'Штатное расписание'!M593/1000</f>
        <v>336.3424946760001</v>
      </c>
      <c r="AV44" s="53">
        <f>'Штатное расписание'!N593/1000</f>
        <v>328.30084537200014</v>
      </c>
      <c r="AW44" s="53">
        <f>'Штатное расписание'!O593/1000</f>
        <v>389.63776436399996</v>
      </c>
      <c r="AX44" s="53">
        <f>'Штатное расписание'!D605/1000</f>
        <v>380.45096001199994</v>
      </c>
      <c r="AY44" s="53">
        <f>'Штатное расписание'!E605/1000</f>
        <v>388.47022857200017</v>
      </c>
      <c r="AZ44" s="53">
        <f>'Штатное расписание'!F605/1000</f>
        <v>413.568475524</v>
      </c>
      <c r="BA44" s="53">
        <f>'Штатное расписание'!G605/1000</f>
        <v>442.9604165980001</v>
      </c>
      <c r="BB44" s="93">
        <f t="shared" si="2"/>
        <v>4798.305980546001</v>
      </c>
      <c r="BC44" s="53">
        <f>'Штатное расписание'!H605/1000</f>
        <v>561.6126317200001</v>
      </c>
      <c r="BD44" s="53">
        <f>'Штатное расписание'!I605/1000</f>
        <v>561.6126317200001</v>
      </c>
      <c r="BE44" s="53">
        <f>'Штатное расписание'!J605/1000</f>
        <v>518.1899734120001</v>
      </c>
      <c r="BF44" s="53">
        <f>'Штатное расписание'!K605/1000</f>
        <v>508.5886546280001</v>
      </c>
      <c r="BG44" s="53">
        <f>'Штатное расписание'!L605/1000</f>
        <v>359.7601523000001</v>
      </c>
      <c r="BH44" s="53">
        <f>'Штатное расписание'!M605/1000</f>
        <v>379.9306392440001</v>
      </c>
      <c r="BI44" s="53">
        <f>'Штатное расписание'!N605/1000</f>
        <v>366.84636820400016</v>
      </c>
      <c r="BJ44" s="53">
        <f>'Штатное расписание'!O605/1000</f>
        <v>448.35377413999987</v>
      </c>
      <c r="BK44" s="53">
        <f>'Штатное расписание'!D617/1000</f>
        <v>360.28047306799994</v>
      </c>
      <c r="BL44" s="53">
        <f>'Штатное расписание'!E617/1000</f>
        <v>376.3614778565001</v>
      </c>
      <c r="BM44" s="53">
        <f>'Штатное расписание'!F617/1000</f>
        <v>401.92572218000004</v>
      </c>
      <c r="BN44" s="53">
        <f>'Штатное расписание'!G617/1000</f>
        <v>423.83607651499995</v>
      </c>
      <c r="BO44" s="93">
        <f t="shared" si="4"/>
        <v>5267.298574987501</v>
      </c>
      <c r="BP44" s="53">
        <f>'Штатное расписание'!H617/1000</f>
        <v>561.6126317200001</v>
      </c>
      <c r="BQ44" s="53">
        <f>'Штатное расписание'!I617/1000</f>
        <v>561.6126317200001</v>
      </c>
      <c r="BR44" s="53">
        <f>'Штатное расписание'!J617/1000</f>
        <v>523.2325951480001</v>
      </c>
      <c r="BS44" s="53">
        <f>'Штатное расписание'!K617/1000</f>
        <v>508.5886546280001</v>
      </c>
      <c r="BT44" s="53">
        <f>'Штатное расписание'!L617/1000</f>
        <v>359.7601523000001</v>
      </c>
      <c r="BU44" s="53">
        <f>'Штатное расписание'!M617/1000</f>
        <v>374.88801750800013</v>
      </c>
      <c r="BV44" s="53">
        <f>'Штатное расписание'!N617/1000</f>
        <v>366.84636820400016</v>
      </c>
      <c r="BW44" s="53">
        <f>'Штатное расписание'!O617/1000</f>
        <v>453.3963958759998</v>
      </c>
      <c r="BX44" s="53">
        <f>'Штатное расписание'!D629/1000</f>
        <v>355.2378513319999</v>
      </c>
      <c r="BY44" s="53">
        <f>'Штатное расписание'!E629/1000</f>
        <v>385.7017402565</v>
      </c>
      <c r="BZ44" s="53">
        <f>'Штатное расписание'!F629/1000</f>
        <v>401.92572218000004</v>
      </c>
      <c r="CA44" s="53">
        <f>'Штатное расписание'!G629/1000</f>
        <v>423.83607651499995</v>
      </c>
      <c r="CB44" s="93">
        <f aca="true" t="shared" si="106" ref="CB44:CB55">CA44+BZ44+BY44+BX44+BW44+BV44+BU44+BT44+BS44+BR44+BQ44+BP44</f>
        <v>5276.6388373875</v>
      </c>
      <c r="CC44" s="53">
        <f>'Штатное расписание'!H629/1000</f>
        <v>561.6126317200001</v>
      </c>
      <c r="CD44" s="53">
        <f>'Штатное расписание'!I629/1000</f>
        <v>561.6126317200001</v>
      </c>
      <c r="CE44" s="53">
        <f>'Штатное расписание'!J629/1000</f>
        <v>523.2325951480001</v>
      </c>
      <c r="CF44" s="53">
        <f>'Штатное расписание'!K629/1000</f>
        <v>508.5886546280001</v>
      </c>
      <c r="CG44" s="53">
        <f>'Штатное расписание'!L629/1000</f>
        <v>359.7601523000001</v>
      </c>
      <c r="CH44" s="53">
        <f>'Штатное расписание'!M629/1000</f>
        <v>374.88801750800013</v>
      </c>
      <c r="CI44" s="53">
        <f>'Штатное расписание'!N629/1000</f>
        <v>366.84636820400016</v>
      </c>
      <c r="CJ44" s="53">
        <f>'Штатное расписание'!O629/1000</f>
        <v>453.3963958759998</v>
      </c>
      <c r="CK44" s="53">
        <f>'Штатное расписание'!D641/1000</f>
        <v>360.28047306799994</v>
      </c>
      <c r="CL44" s="53">
        <f>'Штатное расписание'!E641/1000</f>
        <v>371.3188561205</v>
      </c>
      <c r="CM44" s="53">
        <f>'Штатное расписание'!F641/1000</f>
        <v>401.92572218000004</v>
      </c>
      <c r="CN44" s="53">
        <f>'Штатное расписание'!G641/1000</f>
        <v>423.83607651499995</v>
      </c>
      <c r="CO44" s="93">
        <f t="shared" si="88"/>
        <v>5267.298574987499</v>
      </c>
      <c r="CP44" s="53">
        <f>'Штатное расписание'!H641/1000</f>
        <v>561.6126317200001</v>
      </c>
      <c r="CQ44" s="53">
        <f>'Штатное расписание'!I641/1000</f>
        <v>561.6126317200001</v>
      </c>
      <c r="CR44" s="53">
        <f>'Штатное расписание'!J641/1000</f>
        <v>523.2325951480001</v>
      </c>
      <c r="CS44" s="53">
        <f>'Штатное расписание'!K641/1000</f>
        <v>508.5886546280001</v>
      </c>
      <c r="CT44" s="53">
        <f>'Штатное расписание'!L641/1000</f>
        <v>359.7601523000001</v>
      </c>
      <c r="CU44" s="53">
        <f>'Штатное расписание'!M641/1000</f>
        <v>379.9306392440001</v>
      </c>
      <c r="CV44" s="53">
        <f>'Штатное расписание'!N641/1000</f>
        <v>361.8037464680001</v>
      </c>
      <c r="CW44" s="53">
        <f>'Штатное расписание'!O641/1000</f>
        <v>453.3963958759998</v>
      </c>
      <c r="CX44" s="53">
        <f>'Штатное расписание'!D653/1000</f>
        <v>360.28047306799994</v>
      </c>
      <c r="CY44" s="53">
        <f>'Штатное расписание'!E653/1000</f>
        <v>376.09234940300007</v>
      </c>
      <c r="CZ44" s="53">
        <f>'Штатное расписание'!F653/1000</f>
        <v>397.1522288975001</v>
      </c>
      <c r="DA44" s="53">
        <f>'Штатное расписание'!G653/1000</f>
        <v>423.83607651499995</v>
      </c>
      <c r="DB44" s="93">
        <f t="shared" si="80"/>
        <v>5267.298574987501</v>
      </c>
      <c r="DC44" s="53">
        <f>'Штатное расписание'!H653/1000</f>
        <v>561.6126317200001</v>
      </c>
      <c r="DD44" s="53">
        <f>'Штатное расписание'!I653/1000</f>
        <v>561.6126317200001</v>
      </c>
      <c r="DE44" s="53">
        <f>'Штатное расписание'!J653/1000</f>
        <v>523.2325951480001</v>
      </c>
      <c r="DF44" s="53">
        <f>'Штатное расписание'!K653/1000</f>
        <v>508.5886546280001</v>
      </c>
      <c r="DG44" s="53">
        <f>'Штатное расписание'!L653/1000</f>
        <v>359.7601523000001</v>
      </c>
      <c r="DH44" s="53">
        <f>'Штатное расписание'!M653/1000</f>
        <v>379.9306392440001</v>
      </c>
      <c r="DI44" s="53">
        <f>'Штатное расписание'!N653/1000</f>
        <v>361.8037464680001</v>
      </c>
      <c r="DJ44" s="53">
        <f>'Штатное расписание'!O653/1000</f>
        <v>453.3963958759998</v>
      </c>
      <c r="DK44" s="53">
        <f>'Штатное расписание'!D665/1000</f>
        <v>360.28047306799994</v>
      </c>
      <c r="DL44" s="53">
        <f>'Штатное расписание'!E665/1000</f>
        <v>376.09234940300007</v>
      </c>
      <c r="DM44" s="53">
        <f>'Штатное расписание'!F665/1000</f>
        <v>401.92572218000004</v>
      </c>
      <c r="DN44" s="53">
        <f>'Штатное расписание'!G665/1000</f>
        <v>423.62416539500015</v>
      </c>
      <c r="DO44" s="93">
        <f t="shared" si="81"/>
        <v>5271.86015715</v>
      </c>
      <c r="DP44" s="53">
        <f>'Штатное расписание'!H665/1000</f>
        <v>561.6126317200001</v>
      </c>
      <c r="DQ44" s="53">
        <f>'Штатное расписание'!I665/1000</f>
        <v>561.6126317200001</v>
      </c>
      <c r="DR44" s="53">
        <f>'Штатное расписание'!J665/1000</f>
        <v>518.1899734120001</v>
      </c>
      <c r="DS44" s="53">
        <f>'Штатное расписание'!K665/1000</f>
        <v>508.5886546280001</v>
      </c>
      <c r="DT44" s="53">
        <f>'Штатное расписание'!L665/1000</f>
        <v>359.7601523000001</v>
      </c>
      <c r="DU44" s="53">
        <f>'Штатное расписание'!M665/1000</f>
        <v>379.9306392440001</v>
      </c>
      <c r="DV44" s="53">
        <f>'Штатное расписание'!N665/1000</f>
        <v>366.84636820400016</v>
      </c>
      <c r="DW44" s="53">
        <f>'Штатное расписание'!O665/1000</f>
        <v>448.35377413999987</v>
      </c>
      <c r="DX44" s="53">
        <f>'Штатное расписание'!D677/1000</f>
        <v>360.28047306799994</v>
      </c>
      <c r="DY44" s="53">
        <f>'Штатное расписание'!E677/1000</f>
        <v>376.3614778565001</v>
      </c>
      <c r="DZ44" s="53">
        <f>'Штатное расписание'!F677/1000</f>
        <v>401.92572218000004</v>
      </c>
      <c r="EA44" s="53">
        <f>'Штатное расписание'!G677/1000</f>
        <v>423.83607651499995</v>
      </c>
      <c r="EB44" s="93">
        <f t="shared" si="82"/>
        <v>5267.298574987501</v>
      </c>
      <c r="EC44" s="53">
        <f>'Штатное расписание'!H677/1000</f>
        <v>561.6126317200001</v>
      </c>
      <c r="ED44" s="53">
        <f>'Штатное расписание'!I677/1000</f>
        <v>561.6126317200001</v>
      </c>
      <c r="EE44" s="53">
        <f>'Штатное расписание'!J677/1000</f>
        <v>518.1899734120001</v>
      </c>
      <c r="EF44" s="53">
        <f>'Штатное расписание'!K677/1000</f>
        <v>508.5886546280001</v>
      </c>
      <c r="EG44" s="53">
        <f>'Штатное расписание'!L677/1000</f>
        <v>359.7601523000001</v>
      </c>
      <c r="EH44" s="53">
        <f>'Штатное расписание'!M677/1000</f>
        <v>379.9306392440001</v>
      </c>
      <c r="EI44" s="53">
        <f>'Штатное расписание'!N677/1000</f>
        <v>366.84636820400016</v>
      </c>
      <c r="EJ44" s="53">
        <f>'Штатное расписание'!O677/1000</f>
        <v>453.3963958759998</v>
      </c>
      <c r="EK44" s="53">
        <f>'Штатное расписание'!D689/1000</f>
        <v>355.2378513319999</v>
      </c>
      <c r="EL44" s="53">
        <f>'Штатное расписание'!E689/1000</f>
        <v>376.3614778565001</v>
      </c>
      <c r="EM44" s="53">
        <f>'Штатное расписание'!F689/1000</f>
        <v>401.92572218000004</v>
      </c>
      <c r="EN44" s="53">
        <f>'Штатное расписание'!G689/1000</f>
        <v>423.83607651499995</v>
      </c>
      <c r="EO44" s="93">
        <f t="shared" si="83"/>
        <v>5267.298574987501</v>
      </c>
      <c r="EP44" s="53">
        <f>'Штатное расписание'!H689/1000</f>
        <v>561.6126317200001</v>
      </c>
      <c r="EQ44" s="53">
        <f>'Штатное расписание'!I689/1000</f>
        <v>561.6126317200001</v>
      </c>
      <c r="ER44" s="53">
        <f>'Штатное расписание'!J689/1000</f>
        <v>523.2325951480001</v>
      </c>
      <c r="ES44" s="53">
        <f>'Штатное расписание'!K689/1000</f>
        <v>508.5886546280001</v>
      </c>
      <c r="ET44" s="53">
        <f>'Штатное расписание'!L689/1000</f>
        <v>359.7601523000001</v>
      </c>
      <c r="EU44" s="53">
        <f>'Штатное расписание'!M689/1000</f>
        <v>374.88801750800013</v>
      </c>
      <c r="EV44" s="53">
        <f>'Штатное расписание'!N689/1000</f>
        <v>366.84636820400016</v>
      </c>
      <c r="EW44" s="53">
        <f>'Штатное расписание'!O689/1000</f>
        <v>453.3963958759998</v>
      </c>
      <c r="EX44" s="53">
        <f>'Штатное расписание'!D701/1000</f>
        <v>355.2378513319999</v>
      </c>
      <c r="EY44" s="53">
        <f>'Штатное расписание'!E701/1000</f>
        <v>376.36147785649996</v>
      </c>
      <c r="EZ44" s="53">
        <f>'Штатное расписание'!F701/1000</f>
        <v>401.92572218000004</v>
      </c>
      <c r="FA44" s="53">
        <f>'Штатное расписание'!G701/1000</f>
        <v>423.83607651499995</v>
      </c>
      <c r="FB44" s="93">
        <f t="shared" si="84"/>
        <v>5267.298574987499</v>
      </c>
      <c r="FC44" s="53">
        <f>'Штатное расписание'!H701/1000</f>
        <v>561.6126317200001</v>
      </c>
      <c r="FD44" s="53">
        <f>'Штатное расписание'!I701/1000</f>
        <v>561.6126317200001</v>
      </c>
      <c r="FE44" s="53">
        <f>'Штатное расписание'!J701/1000</f>
        <v>523.2325951480001</v>
      </c>
      <c r="FF44" s="53">
        <f>'Штатное расписание'!K701/1000</f>
        <v>508.5886546280001</v>
      </c>
      <c r="FG44" s="53">
        <f>'Штатное расписание'!L701/1000</f>
        <v>359.7601523000001</v>
      </c>
      <c r="FH44" s="53">
        <f>'Штатное расписание'!M701/1000</f>
        <v>374.88801750800013</v>
      </c>
      <c r="FI44" s="53">
        <f>'Штатное расписание'!N701/1000</f>
        <v>366.84636820400016</v>
      </c>
      <c r="FJ44" s="53">
        <f>'Штатное расписание'!O701/1000</f>
        <v>453.3963958759998</v>
      </c>
      <c r="FK44" s="53">
        <f>'Штатное расписание'!D713/1000</f>
        <v>360.28047306799994</v>
      </c>
      <c r="FL44" s="53">
        <f>'Штатное расписание'!E713/1000</f>
        <v>371.3188561205</v>
      </c>
      <c r="FM44" s="53">
        <f>'Штатное расписание'!F713/1000</f>
        <v>401.92572218000004</v>
      </c>
      <c r="FN44" s="53">
        <f>'Штатное расписание'!G713/1000</f>
        <v>423.83607651499995</v>
      </c>
      <c r="FO44" s="93">
        <f t="shared" si="85"/>
        <v>5267.298574987499</v>
      </c>
      <c r="FP44" s="53">
        <f>'Штатное расписание'!H713/1000</f>
        <v>561.6126317200001</v>
      </c>
      <c r="FQ44" s="53">
        <f>'Штатное расписание'!I713/1000</f>
        <v>561.6126317200001</v>
      </c>
      <c r="FR44" s="53">
        <f>'Штатное расписание'!J713/1000</f>
        <v>523.2325951480001</v>
      </c>
      <c r="FS44" s="53">
        <f>'Штатное расписание'!K713/1000</f>
        <v>508.5886546280001</v>
      </c>
      <c r="FT44" s="53">
        <f>'Штатное расписание'!L713/1000</f>
        <v>359.7601523000001</v>
      </c>
      <c r="FU44" s="53">
        <f>'Штатное расписание'!M713/1000</f>
        <v>379.9306392440001</v>
      </c>
      <c r="FV44" s="53">
        <f>'Штатное расписание'!N713/1000</f>
        <v>361.8037464680001</v>
      </c>
      <c r="FW44" s="53">
        <f>'Штатное расписание'!O713/1000</f>
        <v>453.3963958759998</v>
      </c>
      <c r="FX44" s="53">
        <f>'Штатное расписание'!D725/1000</f>
        <v>360.28047306799994</v>
      </c>
      <c r="FY44" s="53">
        <f>'Штатное расписание'!E725/1000</f>
        <v>376.09234940300007</v>
      </c>
      <c r="FZ44" s="53">
        <f>'Штатное расписание'!F725/1000</f>
        <v>397.1522288975001</v>
      </c>
      <c r="GA44" s="53">
        <f>'Штатное расписание'!G725/1000</f>
        <v>423.83607651499995</v>
      </c>
      <c r="GB44" s="93">
        <f t="shared" si="86"/>
        <v>5267.298574987501</v>
      </c>
      <c r="GC44" s="53">
        <f>'Штатное расписание'!H725/1000</f>
        <v>561.6126317200001</v>
      </c>
      <c r="GD44" s="53">
        <f>'Штатное расписание'!I725/1000</f>
        <v>561.6126317200001</v>
      </c>
      <c r="GE44" s="53">
        <f>'Штатное расписание'!J725/1000</f>
        <v>523.2325951480001</v>
      </c>
      <c r="GF44" s="53">
        <f>'Штатное расписание'!K725/1000</f>
        <v>508.5886546280001</v>
      </c>
      <c r="GG44" s="53">
        <f>'Штатное расписание'!L725/1000</f>
        <v>359.7601523000001</v>
      </c>
      <c r="GH44" s="53">
        <f>'Штатное расписание'!M725/1000</f>
        <v>379.9306392440001</v>
      </c>
      <c r="GI44" s="53">
        <f>'Штатное расписание'!N725/1000</f>
        <v>366.84636820400016</v>
      </c>
      <c r="GJ44" s="53">
        <f>'Штатное расписание'!O725/1000</f>
        <v>448.35377413999987</v>
      </c>
      <c r="GK44" s="53">
        <f>'Штатное расписание'!D737/1000</f>
        <v>360.28047306799994</v>
      </c>
      <c r="GL44" s="53">
        <f>'Штатное расписание'!E737/1000</f>
        <v>376.09234940300007</v>
      </c>
      <c r="GM44" s="53">
        <f>'Штатное расписание'!F737/1000</f>
        <v>401.92572218000004</v>
      </c>
      <c r="GN44" s="53">
        <f>'Штатное расписание'!G737/1000</f>
        <v>423.62416539500015</v>
      </c>
      <c r="GO44" s="93">
        <f t="shared" si="16"/>
        <v>5271.86015715</v>
      </c>
      <c r="GP44" s="53">
        <f>'Штатное расписание'!H737/1000</f>
        <v>561.6126317200001</v>
      </c>
      <c r="GQ44" s="53">
        <f>'Штатное расписание'!I737/1000</f>
        <v>561.6126317200001</v>
      </c>
      <c r="GR44" s="53">
        <f>'Штатное расписание'!J737/1000</f>
        <v>518.1899734120001</v>
      </c>
      <c r="GS44" s="53">
        <f>'Штатное расписание'!K737/1000</f>
        <v>508.5886546280001</v>
      </c>
      <c r="GT44" s="53">
        <f>'Штатное расписание'!L737/1000</f>
        <v>359.7601523000001</v>
      </c>
      <c r="GU44" s="53">
        <f>'Штатное расписание'!M737/1000</f>
        <v>379.9306392440001</v>
      </c>
      <c r="GV44" s="53">
        <f>'Штатное расписание'!N737/1000</f>
        <v>366.84636820400016</v>
      </c>
      <c r="GW44" s="53">
        <f>'Штатное расписание'!O737/1000</f>
        <v>448.35377413999987</v>
      </c>
      <c r="GX44" s="53">
        <f>'Штатное расписание'!D737/1000</f>
        <v>360.28047306799994</v>
      </c>
      <c r="GY44" s="53">
        <f>'Штатное расписание'!E737/1000</f>
        <v>376.09234940300007</v>
      </c>
      <c r="GZ44" s="53">
        <f>'Штатное расписание'!F737/1000</f>
        <v>401.92572218000004</v>
      </c>
      <c r="HA44" s="53">
        <f>'Штатное расписание'!G737/1000</f>
        <v>423.62416539500015</v>
      </c>
      <c r="HB44" s="93">
        <f t="shared" si="87"/>
        <v>5266.817535414</v>
      </c>
      <c r="HC44" s="49">
        <f t="shared" si="19"/>
        <v>73315.44516394752</v>
      </c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93"/>
      <c r="HP44" s="53"/>
      <c r="HQ44" s="53"/>
      <c r="HR44" s="53"/>
      <c r="HS44" s="53"/>
      <c r="HT44" s="53"/>
      <c r="HU44" s="53"/>
      <c r="HV44" s="53"/>
      <c r="HW44" s="53"/>
      <c r="HX44" s="53"/>
      <c r="HY44" s="53"/>
      <c r="HZ44" s="53"/>
      <c r="IA44" s="53"/>
      <c r="IB44" s="93"/>
      <c r="IC44" s="53"/>
      <c r="ID44" s="53"/>
      <c r="IE44" s="53"/>
      <c r="IF44" s="53"/>
      <c r="IG44" s="53"/>
      <c r="IH44" s="53"/>
      <c r="II44" s="53"/>
      <c r="IJ44" s="53"/>
      <c r="IK44" s="53"/>
      <c r="IL44" s="53"/>
      <c r="IM44" s="53"/>
      <c r="IN44" s="53"/>
      <c r="IO44" s="93"/>
      <c r="IP44" s="53"/>
      <c r="IQ44" s="53"/>
      <c r="IR44" s="53"/>
      <c r="IS44" s="53"/>
      <c r="IT44" s="53"/>
      <c r="IU44" s="53"/>
      <c r="IV44" s="53"/>
    </row>
    <row r="45" spans="2:256" ht="14.25" outlineLevel="3">
      <c r="B45" s="98" t="s">
        <v>504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93"/>
      <c r="P45" s="53"/>
      <c r="Q45" s="53"/>
      <c r="R45" s="53"/>
      <c r="S45" s="53"/>
      <c r="T45" s="53"/>
      <c r="U45" s="53"/>
      <c r="V45" s="53"/>
      <c r="W45" s="53"/>
      <c r="X45" s="53"/>
      <c r="Y45" s="53">
        <f>'Расчёт налога на имущество'!N5/1000</f>
        <v>9.04279277</v>
      </c>
      <c r="Z45" s="53"/>
      <c r="AA45" s="53"/>
      <c r="AB45" s="93">
        <f>AA45+Z45+Y45+X45+W45+V45+U45+T45+S45+R45+Q45+P45</f>
        <v>9.04279277</v>
      </c>
      <c r="AC45" s="53">
        <f>'Расчёт налога на имущество'!Q5/1000</f>
        <v>7.632536382307695</v>
      </c>
      <c r="AD45" s="53"/>
      <c r="AE45" s="53"/>
      <c r="AF45" s="53">
        <f>'Расчёт налога на имущество'!H15/1000</f>
        <v>39.020270245</v>
      </c>
      <c r="AG45" s="53"/>
      <c r="AH45" s="53"/>
      <c r="AI45" s="53">
        <f>'Расчёт налога на имущество'!K15/1000</f>
        <v>37.162162117142856</v>
      </c>
      <c r="AJ45" s="53"/>
      <c r="AK45" s="53"/>
      <c r="AL45" s="53">
        <f>'Расчёт налога на имущество'!N15/1000</f>
        <v>697.4821403440001</v>
      </c>
      <c r="AM45" s="53"/>
      <c r="AN45" s="53"/>
      <c r="AO45" s="93">
        <f t="shared" si="0"/>
        <v>781.2971090884506</v>
      </c>
      <c r="AP45" s="53">
        <f>'Расчёт налога на имущество'!Q15/1000</f>
        <v>517.9375221200112</v>
      </c>
      <c r="AQ45" s="53"/>
      <c r="AR45" s="53"/>
      <c r="AS45" s="53">
        <f>'Расчёт налога на имущество'!H29/1000</f>
        <v>3202.764348575</v>
      </c>
      <c r="AT45" s="53"/>
      <c r="AU45" s="53"/>
      <c r="AV45" s="53">
        <f>'Расчёт налога на имущество'!K29/1000</f>
        <v>3161.22179186</v>
      </c>
      <c r="AW45" s="53"/>
      <c r="AX45" s="53"/>
      <c r="AY45" s="53">
        <f>'Расчёт налога на имущество'!N29/1000</f>
        <v>3947.1992669779997</v>
      </c>
      <c r="AZ45" s="53"/>
      <c r="BA45" s="53"/>
      <c r="BB45" s="93">
        <f t="shared" si="2"/>
        <v>10829.12292953301</v>
      </c>
      <c r="BC45" s="53"/>
      <c r="BD45" s="53"/>
      <c r="BE45" s="53"/>
      <c r="BF45" s="53">
        <f>'Расчёт налога на имущество'!H43/1000</f>
        <v>6850.234342765</v>
      </c>
      <c r="BG45" s="53"/>
      <c r="BH45" s="53"/>
      <c r="BI45" s="53">
        <f>'Расчёт налога на имущество'!K43/1000</f>
        <v>6764.4977295657145</v>
      </c>
      <c r="BJ45" s="53"/>
      <c r="BK45" s="53"/>
      <c r="BL45" s="53">
        <f>'Расчёт налога на имущество'!N43/1000</f>
        <v>6674.675402274001</v>
      </c>
      <c r="BM45" s="53"/>
      <c r="BN45" s="53"/>
      <c r="BO45" s="93">
        <f t="shared" si="4"/>
        <v>20289.407474604715</v>
      </c>
      <c r="BP45" s="53"/>
      <c r="BQ45" s="53"/>
      <c r="BR45" s="53"/>
      <c r="BS45" s="53">
        <f>'Расчёт налога на имущество'!H56/1000</f>
        <v>6144.772905810001</v>
      </c>
      <c r="BT45" s="53"/>
      <c r="BU45" s="53"/>
      <c r="BV45" s="53">
        <f>'Расчёт налога на имущество'!K56/1000</f>
        <v>6057.751543580002</v>
      </c>
      <c r="BW45" s="53"/>
      <c r="BX45" s="53"/>
      <c r="BY45" s="53">
        <f>'Расчёт налога на имущество'!N56/1000</f>
        <v>5970.730182230001</v>
      </c>
      <c r="BZ45" s="53"/>
      <c r="CA45" s="53"/>
      <c r="CB45" s="93">
        <f t="shared" si="106"/>
        <v>18173.254631620006</v>
      </c>
      <c r="CC45" s="53"/>
      <c r="CD45" s="53"/>
      <c r="CE45" s="53"/>
      <c r="CF45" s="53">
        <f>'Расчёт налога на имущество'!H70/1000</f>
        <v>5448.60200819</v>
      </c>
      <c r="CG45" s="53"/>
      <c r="CH45" s="53"/>
      <c r="CI45" s="53">
        <f>'Расчёт налога на имущество'!K70/1000</f>
        <v>5361.580646525714</v>
      </c>
      <c r="CJ45" s="53"/>
      <c r="CK45" s="53"/>
      <c r="CL45" s="53">
        <f>'Расчёт налога на имущество'!N70/1000</f>
        <v>5283.602077402001</v>
      </c>
      <c r="CM45" s="53"/>
      <c r="CN45" s="53"/>
      <c r="CO45" s="93">
        <f t="shared" si="88"/>
        <v>16093.784732117714</v>
      </c>
      <c r="CP45" s="53"/>
      <c r="CQ45" s="53"/>
      <c r="CR45" s="53"/>
      <c r="CS45" s="53">
        <f>'Расчёт налога на имущество'!H84/1000</f>
        <v>4791.45105329</v>
      </c>
      <c r="CT45" s="53"/>
      <c r="CU45" s="53"/>
      <c r="CV45" s="53">
        <f>'Расчёт налога на имущество'!K84/1000</f>
        <v>4702.571441511429</v>
      </c>
      <c r="CW45" s="53"/>
      <c r="CX45" s="53"/>
      <c r="CY45" s="53">
        <f>'Расчёт налога на имущество'!N84/1000</f>
        <v>4663.800348130001</v>
      </c>
      <c r="CZ45" s="53"/>
      <c r="DA45" s="53"/>
      <c r="DB45" s="93">
        <f t="shared" si="80"/>
        <v>14157.822842931431</v>
      </c>
      <c r="DC45" s="53"/>
      <c r="DD45" s="53"/>
      <c r="DE45" s="53"/>
      <c r="DF45" s="53">
        <f>'Расчёт налога на имущество'!H98/1000</f>
        <v>4330.9567987400005</v>
      </c>
      <c r="DG45" s="53"/>
      <c r="DH45" s="53"/>
      <c r="DI45" s="53">
        <f>'Расчёт налога на имущество'!K98/1000</f>
        <v>4242.077045580001</v>
      </c>
      <c r="DJ45" s="53"/>
      <c r="DK45" s="53"/>
      <c r="DL45" s="53">
        <f>'Расчёт налога на имущество'!N98/1000</f>
        <v>4020.4870934650853</v>
      </c>
      <c r="DM45" s="53"/>
      <c r="DN45" s="53"/>
      <c r="DO45" s="93">
        <f t="shared" si="81"/>
        <v>12593.520937785088</v>
      </c>
      <c r="DP45" s="53"/>
      <c r="DQ45" s="53"/>
      <c r="DR45" s="53"/>
      <c r="DS45" s="53">
        <f>'Расчёт налога на имущество'!H112/1000</f>
        <v>3745.1916257800003</v>
      </c>
      <c r="DT45" s="53"/>
      <c r="DU45" s="53"/>
      <c r="DV45" s="53">
        <f>'Расчёт налога на имущество'!K112/1000</f>
        <v>3656.312155382858</v>
      </c>
      <c r="DW45" s="53"/>
      <c r="DX45" s="53"/>
      <c r="DY45" s="53">
        <f>'Расчёт налога на имущество'!N112/1000</f>
        <v>3567.4326852560002</v>
      </c>
      <c r="DZ45" s="53"/>
      <c r="EA45" s="53"/>
      <c r="EB45" s="93">
        <f t="shared" si="82"/>
        <v>10968.936466418858</v>
      </c>
      <c r="EC45" s="53"/>
      <c r="ED45" s="53"/>
      <c r="EE45" s="53"/>
      <c r="EF45" s="53">
        <f>'Расчёт налога на имущество'!H123/1000</f>
        <v>3046.7536953699996</v>
      </c>
      <c r="EG45" s="53"/>
      <c r="EH45" s="53"/>
      <c r="EI45" s="53">
        <f>'Расчёт налога на имущество'!K123/1000</f>
        <v>2962.0732505571427</v>
      </c>
      <c r="EJ45" s="53"/>
      <c r="EK45" s="53"/>
      <c r="EL45" s="53">
        <f>'Расчёт налога на имущество'!N123/1000</f>
        <v>2877.3928908119997</v>
      </c>
      <c r="EM45" s="53"/>
      <c r="EN45" s="53"/>
      <c r="EO45" s="93">
        <f t="shared" si="83"/>
        <v>8886.219836739143</v>
      </c>
      <c r="EP45" s="53"/>
      <c r="EQ45" s="53"/>
      <c r="ER45" s="53"/>
      <c r="ES45" s="53">
        <f>'Расчёт налога на имущество'!H134/1000</f>
        <v>2372.5798807700003</v>
      </c>
      <c r="ET45" s="53"/>
      <c r="EU45" s="53"/>
      <c r="EV45" s="53">
        <f>'Расчёт налога на имущество'!K134/1000</f>
        <v>2288.989224531429</v>
      </c>
      <c r="EW45" s="53"/>
      <c r="EX45" s="53"/>
      <c r="EY45" s="53">
        <f>'Расчёт налога на имущество'!N134/1000</f>
        <v>2214.441361176</v>
      </c>
      <c r="EZ45" s="53"/>
      <c r="FA45" s="53"/>
      <c r="FB45" s="93">
        <f t="shared" si="84"/>
        <v>6876.010466477429</v>
      </c>
      <c r="FC45" s="53"/>
      <c r="FD45" s="53"/>
      <c r="FE45" s="53"/>
      <c r="FF45" s="53">
        <f>'Расчёт налога на имущество'!H145/1000</f>
        <v>1742.874901845</v>
      </c>
      <c r="FG45" s="53"/>
      <c r="FH45" s="53"/>
      <c r="FI45" s="53">
        <f>'Расчёт налога на имущество'!K145/1000</f>
        <v>1657.4258546371427</v>
      </c>
      <c r="FJ45" s="53"/>
      <c r="FK45" s="53"/>
      <c r="FL45" s="53">
        <f>'Расчёт налога на имущество'!N145/1000</f>
        <v>1622.08541055</v>
      </c>
      <c r="FM45" s="53"/>
      <c r="FN45" s="53"/>
      <c r="FO45" s="93">
        <f t="shared" si="85"/>
        <v>5022.386167032143</v>
      </c>
      <c r="FP45" s="53">
        <v>5.682</v>
      </c>
      <c r="FQ45" s="53"/>
      <c r="FR45" s="53"/>
      <c r="FS45" s="53">
        <f>'Расчёт налога на имущество'!H155/1000</f>
        <v>1398.490315915</v>
      </c>
      <c r="FT45" s="53"/>
      <c r="FU45" s="53"/>
      <c r="FV45" s="53">
        <f>'Расчёт налога на имущество'!K155/1000</f>
        <v>1343.9906909628573</v>
      </c>
      <c r="FW45" s="53"/>
      <c r="FX45" s="53"/>
      <c r="FY45" s="53">
        <f>'Расчёт налога на имущество'!N155/1000</f>
        <v>1316.6367173080002</v>
      </c>
      <c r="FZ45" s="53"/>
      <c r="GA45" s="53"/>
      <c r="GB45" s="93">
        <f t="shared" si="86"/>
        <v>4064.7997241858575</v>
      </c>
      <c r="GC45" s="54"/>
      <c r="GD45" s="53"/>
      <c r="GE45" s="53"/>
      <c r="GF45" s="53">
        <f>'Расчёт налога на имущество'!H164/1000</f>
        <v>1203.591444385</v>
      </c>
      <c r="GG45" s="53"/>
      <c r="GH45" s="53"/>
      <c r="GI45" s="53">
        <f>'Расчёт налога на имущество'!K164/1000</f>
        <v>1185.9580543485715</v>
      </c>
      <c r="GJ45" s="53"/>
      <c r="GK45" s="53"/>
      <c r="GL45" s="53">
        <f>'Расчёт налога на имущество'!N164/1000</f>
        <v>1168.324664518</v>
      </c>
      <c r="GM45" s="53"/>
      <c r="GN45" s="53"/>
      <c r="GO45" s="93">
        <f t="shared" si="16"/>
        <v>3557.874163251571</v>
      </c>
      <c r="GP45" s="53"/>
      <c r="GQ45" s="53"/>
      <c r="GR45" s="53"/>
      <c r="GS45" s="53">
        <f>'Расчёт налога на имущество'!H172/1000</f>
        <v>1068.0985399150002</v>
      </c>
      <c r="GT45" s="53"/>
      <c r="GU45" s="53"/>
      <c r="GV45" s="53">
        <f>'Расчёт налога на имущество'!K172/1000</f>
        <v>1052.3233052200003</v>
      </c>
      <c r="GW45" s="53"/>
      <c r="GX45" s="53"/>
      <c r="GY45" s="53">
        <f>'Расчёт налога на имущество'!N172/1000</f>
        <v>1036.5480423540002</v>
      </c>
      <c r="GZ45" s="53"/>
      <c r="HA45" s="53"/>
      <c r="HB45" s="93">
        <f t="shared" si="87"/>
        <v>3156.969887489001</v>
      </c>
      <c r="HC45" s="49">
        <f t="shared" si="19"/>
        <v>135460.4501620444</v>
      </c>
      <c r="HD45" s="53"/>
      <c r="HE45" s="53"/>
      <c r="HF45" s="53"/>
      <c r="HG45" s="53"/>
      <c r="HH45" s="53"/>
      <c r="HI45" s="53"/>
      <c r="HJ45" s="53"/>
      <c r="HK45" s="53"/>
      <c r="HL45" s="53"/>
      <c r="HM45" s="53"/>
      <c r="HN45" s="53"/>
      <c r="HO45" s="93"/>
      <c r="HP45" s="53"/>
      <c r="HQ45" s="53"/>
      <c r="HR45" s="53"/>
      <c r="HS45" s="53"/>
      <c r="HT45" s="53"/>
      <c r="HU45" s="53"/>
      <c r="HV45" s="53"/>
      <c r="HW45" s="53"/>
      <c r="HX45" s="53"/>
      <c r="HY45" s="53"/>
      <c r="HZ45" s="53"/>
      <c r="IA45" s="53"/>
      <c r="IB45" s="93"/>
      <c r="IC45" s="53"/>
      <c r="ID45" s="53"/>
      <c r="IE45" s="53"/>
      <c r="IF45" s="53"/>
      <c r="IG45" s="53"/>
      <c r="IH45" s="53"/>
      <c r="II45" s="53"/>
      <c r="IJ45" s="53"/>
      <c r="IK45" s="53"/>
      <c r="IL45" s="53"/>
      <c r="IM45" s="53"/>
      <c r="IN45" s="53"/>
      <c r="IO45" s="93"/>
      <c r="IP45" s="53"/>
      <c r="IQ45" s="53"/>
      <c r="IR45" s="53"/>
      <c r="IS45" s="53"/>
      <c r="IT45" s="53"/>
      <c r="IU45" s="53"/>
      <c r="IV45" s="53"/>
    </row>
    <row r="46" spans="2:256" ht="14.25" outlineLevel="3">
      <c r="B46" s="98" t="s">
        <v>402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9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93"/>
      <c r="AC46" s="53"/>
      <c r="AD46" s="53"/>
      <c r="AE46" s="53"/>
      <c r="AF46" s="53"/>
      <c r="AG46" s="53"/>
      <c r="AH46" s="53"/>
      <c r="AI46" s="53"/>
      <c r="AJ46" s="53"/>
      <c r="AK46" s="53"/>
      <c r="AL46" s="53">
        <v>1.08667</v>
      </c>
      <c r="AM46" s="53"/>
      <c r="AN46" s="53"/>
      <c r="AO46" s="93">
        <f t="shared" si="0"/>
        <v>1.08667</v>
      </c>
      <c r="AP46" s="53"/>
      <c r="AQ46" s="53"/>
      <c r="AR46" s="53"/>
      <c r="AS46" s="53"/>
      <c r="AT46" s="53"/>
      <c r="AU46" s="53"/>
      <c r="AV46" s="53"/>
      <c r="AW46" s="53"/>
      <c r="AX46" s="53"/>
      <c r="AY46" s="53">
        <v>3.26</v>
      </c>
      <c r="AZ46" s="53"/>
      <c r="BA46" s="53"/>
      <c r="BB46" s="93">
        <f t="shared" si="2"/>
        <v>3.26</v>
      </c>
      <c r="BC46" s="53"/>
      <c r="BD46" s="53"/>
      <c r="BE46" s="53"/>
      <c r="BF46" s="53"/>
      <c r="BG46" s="53"/>
      <c r="BH46" s="53"/>
      <c r="BI46" s="53"/>
      <c r="BJ46" s="53"/>
      <c r="BK46" s="53"/>
      <c r="BL46" s="53">
        <v>3.26</v>
      </c>
      <c r="BM46" s="53"/>
      <c r="BN46" s="53"/>
      <c r="BO46" s="93">
        <f t="shared" si="4"/>
        <v>3.26</v>
      </c>
      <c r="BP46" s="53"/>
      <c r="BQ46" s="53"/>
      <c r="BR46" s="53"/>
      <c r="BS46" s="53"/>
      <c r="BT46" s="53"/>
      <c r="BU46" s="53"/>
      <c r="BV46" s="53"/>
      <c r="BW46" s="53"/>
      <c r="BX46" s="53"/>
      <c r="BY46" s="53">
        <v>3.26</v>
      </c>
      <c r="BZ46" s="53"/>
      <c r="CA46" s="53"/>
      <c r="CB46" s="93">
        <f t="shared" si="106"/>
        <v>3.26</v>
      </c>
      <c r="CC46" s="53"/>
      <c r="CD46" s="53"/>
      <c r="CE46" s="53"/>
      <c r="CF46" s="53"/>
      <c r="CG46" s="53"/>
      <c r="CH46" s="53"/>
      <c r="CI46" s="53"/>
      <c r="CJ46" s="53"/>
      <c r="CK46" s="53"/>
      <c r="CL46" s="53">
        <v>3.26</v>
      </c>
      <c r="CM46" s="53"/>
      <c r="CN46" s="53"/>
      <c r="CO46" s="93">
        <f t="shared" si="88"/>
        <v>3.26</v>
      </c>
      <c r="CP46" s="53"/>
      <c r="CQ46" s="53"/>
      <c r="CR46" s="53"/>
      <c r="CS46" s="53"/>
      <c r="CT46" s="53"/>
      <c r="CU46" s="53"/>
      <c r="CV46" s="53"/>
      <c r="CW46" s="53"/>
      <c r="CX46" s="53"/>
      <c r="CY46" s="53">
        <v>3.26</v>
      </c>
      <c r="CZ46" s="53"/>
      <c r="DA46" s="53"/>
      <c r="DB46" s="93">
        <f t="shared" si="80"/>
        <v>3.26</v>
      </c>
      <c r="DC46" s="53"/>
      <c r="DD46" s="53"/>
      <c r="DE46" s="53"/>
      <c r="DF46" s="53"/>
      <c r="DG46" s="53"/>
      <c r="DH46" s="53"/>
      <c r="DI46" s="53"/>
      <c r="DJ46" s="53"/>
      <c r="DK46" s="53"/>
      <c r="DL46" s="53">
        <v>3.26</v>
      </c>
      <c r="DM46" s="53"/>
      <c r="DN46" s="53"/>
      <c r="DO46" s="93">
        <f t="shared" si="81"/>
        <v>3.26</v>
      </c>
      <c r="DP46" s="53"/>
      <c r="DQ46" s="53"/>
      <c r="DR46" s="53"/>
      <c r="DS46" s="53"/>
      <c r="DT46" s="53"/>
      <c r="DU46" s="53"/>
      <c r="DV46" s="53"/>
      <c r="DW46" s="53"/>
      <c r="DX46" s="53"/>
      <c r="DY46" s="53">
        <v>3.26</v>
      </c>
      <c r="DZ46" s="53"/>
      <c r="EA46" s="53"/>
      <c r="EB46" s="93">
        <f t="shared" si="82"/>
        <v>3.26</v>
      </c>
      <c r="EC46" s="53"/>
      <c r="ED46" s="53"/>
      <c r="EE46" s="53"/>
      <c r="EF46" s="53"/>
      <c r="EG46" s="53"/>
      <c r="EH46" s="53"/>
      <c r="EI46" s="53"/>
      <c r="EJ46" s="53"/>
      <c r="EK46" s="53"/>
      <c r="EL46" s="53">
        <v>3.26</v>
      </c>
      <c r="EM46" s="53"/>
      <c r="EN46" s="53"/>
      <c r="EO46" s="93">
        <f t="shared" si="83"/>
        <v>3.26</v>
      </c>
      <c r="EP46" s="53"/>
      <c r="EQ46" s="53"/>
      <c r="ER46" s="53"/>
      <c r="ES46" s="53"/>
      <c r="ET46" s="53"/>
      <c r="EU46" s="53"/>
      <c r="EV46" s="53"/>
      <c r="EW46" s="53"/>
      <c r="EX46" s="53"/>
      <c r="EY46" s="53">
        <v>3.26</v>
      </c>
      <c r="EZ46" s="53"/>
      <c r="FA46" s="53"/>
      <c r="FB46" s="93">
        <f t="shared" si="84"/>
        <v>3.26</v>
      </c>
      <c r="FC46" s="53"/>
      <c r="FD46" s="53"/>
      <c r="FE46" s="53"/>
      <c r="FF46" s="53"/>
      <c r="FG46" s="53"/>
      <c r="FH46" s="53"/>
      <c r="FI46" s="53"/>
      <c r="FJ46" s="53"/>
      <c r="FK46" s="53"/>
      <c r="FL46" s="53">
        <v>3.26</v>
      </c>
      <c r="FM46" s="53"/>
      <c r="FN46" s="53"/>
      <c r="FO46" s="93">
        <f t="shared" si="85"/>
        <v>3.26</v>
      </c>
      <c r="FP46" s="53"/>
      <c r="FQ46" s="53"/>
      <c r="FR46" s="53"/>
      <c r="FS46" s="53"/>
      <c r="FT46" s="53"/>
      <c r="FU46" s="53"/>
      <c r="FV46" s="53"/>
      <c r="FW46" s="53"/>
      <c r="FX46" s="53"/>
      <c r="FY46" s="53">
        <v>3.26</v>
      </c>
      <c r="FZ46" s="53"/>
      <c r="GA46" s="53"/>
      <c r="GB46" s="93">
        <f t="shared" si="86"/>
        <v>3.26</v>
      </c>
      <c r="GC46" s="53"/>
      <c r="GD46" s="53"/>
      <c r="GE46" s="53"/>
      <c r="GF46" s="53"/>
      <c r="GG46" s="53"/>
      <c r="GH46" s="53"/>
      <c r="GI46" s="53"/>
      <c r="GJ46" s="53"/>
      <c r="GK46" s="53"/>
      <c r="GL46" s="53">
        <v>3.26</v>
      </c>
      <c r="GM46" s="53"/>
      <c r="GN46" s="53"/>
      <c r="GO46" s="93">
        <f t="shared" si="16"/>
        <v>3.26</v>
      </c>
      <c r="GP46" s="53"/>
      <c r="GQ46" s="53"/>
      <c r="GR46" s="53"/>
      <c r="GS46" s="53"/>
      <c r="GT46" s="53"/>
      <c r="GU46" s="53"/>
      <c r="GV46" s="53"/>
      <c r="GW46" s="53"/>
      <c r="GX46" s="53"/>
      <c r="GY46" s="53">
        <v>3.26</v>
      </c>
      <c r="GZ46" s="53"/>
      <c r="HA46" s="53"/>
      <c r="HB46" s="93">
        <f aca="true" t="shared" si="107" ref="HB46:HB55">HA46+GZ46+GY46+GX46+GW46+GV46+GU46+GT46+GS46+GR46+GQ46+GP46</f>
        <v>3.26</v>
      </c>
      <c r="HC46" s="49">
        <f t="shared" si="19"/>
        <v>43.46666999999998</v>
      </c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9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93"/>
      <c r="IC46" s="53"/>
      <c r="ID46" s="53"/>
      <c r="IE46" s="53"/>
      <c r="IF46" s="53"/>
      <c r="IG46" s="53"/>
      <c r="IH46" s="53"/>
      <c r="II46" s="53"/>
      <c r="IJ46" s="53"/>
      <c r="IK46" s="53"/>
      <c r="IL46" s="53"/>
      <c r="IM46" s="53"/>
      <c r="IN46" s="53"/>
      <c r="IO46" s="93"/>
      <c r="IP46" s="53"/>
      <c r="IQ46" s="53"/>
      <c r="IR46" s="53"/>
      <c r="IS46" s="53"/>
      <c r="IT46" s="53"/>
      <c r="IU46" s="53"/>
      <c r="IV46" s="53"/>
    </row>
    <row r="47" spans="2:256" ht="14.25" outlineLevel="3">
      <c r="B47" s="98" t="s">
        <v>403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9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9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93"/>
      <c r="AP47" s="53"/>
      <c r="AQ47" s="53"/>
      <c r="AR47" s="53"/>
      <c r="AS47" s="53"/>
      <c r="AT47" s="53"/>
      <c r="AU47" s="53"/>
      <c r="AV47" s="53"/>
      <c r="AW47" s="53"/>
      <c r="AX47" s="53"/>
      <c r="AY47" s="53">
        <v>14.56</v>
      </c>
      <c r="AZ47" s="53"/>
      <c r="BA47" s="53"/>
      <c r="BB47" s="93">
        <f t="shared" si="2"/>
        <v>14.56</v>
      </c>
      <c r="BC47" s="53"/>
      <c r="BD47" s="53"/>
      <c r="BE47" s="53"/>
      <c r="BF47" s="53"/>
      <c r="BG47" s="53"/>
      <c r="BH47" s="53"/>
      <c r="BI47" s="53"/>
      <c r="BJ47" s="53"/>
      <c r="BK47" s="53"/>
      <c r="BL47" s="53">
        <v>50.96</v>
      </c>
      <c r="BM47" s="53"/>
      <c r="BN47" s="53"/>
      <c r="BO47" s="93">
        <f t="shared" si="4"/>
        <v>50.96</v>
      </c>
      <c r="BP47" s="53"/>
      <c r="BQ47" s="53"/>
      <c r="BR47" s="53"/>
      <c r="BS47" s="53"/>
      <c r="BT47" s="53"/>
      <c r="BU47" s="53"/>
      <c r="BV47" s="53"/>
      <c r="BW47" s="53"/>
      <c r="BX47" s="53"/>
      <c r="BY47" s="53">
        <v>65.52</v>
      </c>
      <c r="BZ47" s="53"/>
      <c r="CA47" s="53"/>
      <c r="CB47" s="93">
        <f t="shared" si="106"/>
        <v>65.52</v>
      </c>
      <c r="CC47" s="53"/>
      <c r="CD47" s="53"/>
      <c r="CE47" s="53"/>
      <c r="CF47" s="53"/>
      <c r="CG47" s="53"/>
      <c r="CH47" s="53"/>
      <c r="CI47" s="53"/>
      <c r="CJ47" s="53"/>
      <c r="CK47" s="53"/>
      <c r="CL47" s="53">
        <v>65.52</v>
      </c>
      <c r="CM47" s="53"/>
      <c r="CN47" s="53"/>
      <c r="CO47" s="93">
        <f t="shared" si="88"/>
        <v>65.52</v>
      </c>
      <c r="CP47" s="53"/>
      <c r="CQ47" s="53"/>
      <c r="CR47" s="53"/>
      <c r="CS47" s="53"/>
      <c r="CT47" s="53"/>
      <c r="CU47" s="53"/>
      <c r="CV47" s="53"/>
      <c r="CW47" s="53"/>
      <c r="CX47" s="53"/>
      <c r="CY47" s="53">
        <v>65.52</v>
      </c>
      <c r="CZ47" s="53"/>
      <c r="DA47" s="53"/>
      <c r="DB47" s="93">
        <f t="shared" si="80"/>
        <v>65.52</v>
      </c>
      <c r="DC47" s="53"/>
      <c r="DD47" s="53"/>
      <c r="DE47" s="53"/>
      <c r="DF47" s="53"/>
      <c r="DG47" s="53"/>
      <c r="DH47" s="53"/>
      <c r="DI47" s="53"/>
      <c r="DJ47" s="53"/>
      <c r="DK47" s="53"/>
      <c r="DL47" s="53">
        <v>65.52</v>
      </c>
      <c r="DM47" s="53"/>
      <c r="DN47" s="53"/>
      <c r="DO47" s="93">
        <f t="shared" si="81"/>
        <v>65.52</v>
      </c>
      <c r="DP47" s="53"/>
      <c r="DQ47" s="53"/>
      <c r="DR47" s="53"/>
      <c r="DS47" s="53"/>
      <c r="DT47" s="53"/>
      <c r="DU47" s="53"/>
      <c r="DV47" s="53"/>
      <c r="DW47" s="53"/>
      <c r="DX47" s="53"/>
      <c r="DY47" s="53">
        <v>65.52</v>
      </c>
      <c r="DZ47" s="53"/>
      <c r="EA47" s="53"/>
      <c r="EB47" s="93">
        <f t="shared" si="82"/>
        <v>65.52</v>
      </c>
      <c r="EC47" s="53"/>
      <c r="ED47" s="53"/>
      <c r="EE47" s="53"/>
      <c r="EF47" s="53"/>
      <c r="EG47" s="53"/>
      <c r="EH47" s="53"/>
      <c r="EI47" s="53"/>
      <c r="EJ47" s="53"/>
      <c r="EK47" s="53"/>
      <c r="EL47" s="53">
        <v>65.52</v>
      </c>
      <c r="EM47" s="53"/>
      <c r="EN47" s="53"/>
      <c r="EO47" s="93">
        <f t="shared" si="83"/>
        <v>65.52</v>
      </c>
      <c r="EP47" s="53"/>
      <c r="EQ47" s="53"/>
      <c r="ER47" s="53"/>
      <c r="ES47" s="53"/>
      <c r="ET47" s="53"/>
      <c r="EU47" s="53"/>
      <c r="EV47" s="53"/>
      <c r="EW47" s="53"/>
      <c r="EX47" s="53"/>
      <c r="EY47" s="53">
        <v>65.52</v>
      </c>
      <c r="EZ47" s="53"/>
      <c r="FA47" s="53"/>
      <c r="FB47" s="93">
        <f t="shared" si="84"/>
        <v>65.52</v>
      </c>
      <c r="FC47" s="53"/>
      <c r="FD47" s="53"/>
      <c r="FE47" s="53"/>
      <c r="FF47" s="53"/>
      <c r="FG47" s="53"/>
      <c r="FH47" s="53"/>
      <c r="FI47" s="53"/>
      <c r="FJ47" s="53"/>
      <c r="FK47" s="53"/>
      <c r="FL47" s="53">
        <v>65.52</v>
      </c>
      <c r="FM47" s="53"/>
      <c r="FN47" s="53"/>
      <c r="FO47" s="93">
        <f t="shared" si="85"/>
        <v>65.52</v>
      </c>
      <c r="FP47" s="53"/>
      <c r="FQ47" s="53"/>
      <c r="FR47" s="53"/>
      <c r="FS47" s="53"/>
      <c r="FT47" s="53"/>
      <c r="FU47" s="53"/>
      <c r="FV47" s="53"/>
      <c r="FW47" s="53"/>
      <c r="FX47" s="53"/>
      <c r="FY47" s="53">
        <v>65.52</v>
      </c>
      <c r="FZ47" s="53"/>
      <c r="GA47" s="53"/>
      <c r="GB47" s="93">
        <f t="shared" si="86"/>
        <v>65.52</v>
      </c>
      <c r="GC47" s="53"/>
      <c r="GD47" s="53"/>
      <c r="GE47" s="53"/>
      <c r="GF47" s="53"/>
      <c r="GG47" s="53"/>
      <c r="GH47" s="53"/>
      <c r="GI47" s="53"/>
      <c r="GJ47" s="53"/>
      <c r="GK47" s="53"/>
      <c r="GL47" s="53">
        <v>65.52</v>
      </c>
      <c r="GM47" s="53"/>
      <c r="GN47" s="53"/>
      <c r="GO47" s="93">
        <f t="shared" si="16"/>
        <v>65.52</v>
      </c>
      <c r="GP47" s="53"/>
      <c r="GQ47" s="53"/>
      <c r="GR47" s="53"/>
      <c r="GS47" s="53"/>
      <c r="GT47" s="53"/>
      <c r="GU47" s="53"/>
      <c r="GV47" s="53"/>
      <c r="GW47" s="53"/>
      <c r="GX47" s="53"/>
      <c r="GY47" s="53">
        <v>65.52</v>
      </c>
      <c r="GZ47" s="53"/>
      <c r="HA47" s="53"/>
      <c r="HB47" s="93">
        <f t="shared" si="107"/>
        <v>65.52</v>
      </c>
      <c r="HC47" s="49">
        <f t="shared" si="19"/>
        <v>786.2399999999999</v>
      </c>
      <c r="HD47" s="53"/>
      <c r="HE47" s="53"/>
      <c r="HF47" s="53"/>
      <c r="HG47" s="53"/>
      <c r="HH47" s="53"/>
      <c r="HI47" s="53"/>
      <c r="HJ47" s="53"/>
      <c r="HK47" s="53"/>
      <c r="HL47" s="53"/>
      <c r="HM47" s="53"/>
      <c r="HN47" s="53"/>
      <c r="HO47" s="93"/>
      <c r="HP47" s="53"/>
      <c r="HQ47" s="53"/>
      <c r="HR47" s="53"/>
      <c r="HS47" s="53"/>
      <c r="HT47" s="53"/>
      <c r="HU47" s="53"/>
      <c r="HV47" s="53"/>
      <c r="HW47" s="53"/>
      <c r="HX47" s="53"/>
      <c r="HY47" s="53"/>
      <c r="HZ47" s="53"/>
      <c r="IA47" s="53"/>
      <c r="IB47" s="93"/>
      <c r="IC47" s="53"/>
      <c r="ID47" s="53"/>
      <c r="IE47" s="53"/>
      <c r="IF47" s="53"/>
      <c r="IG47" s="53"/>
      <c r="IH47" s="53"/>
      <c r="II47" s="53"/>
      <c r="IJ47" s="53"/>
      <c r="IK47" s="53"/>
      <c r="IL47" s="53"/>
      <c r="IM47" s="53"/>
      <c r="IN47" s="53"/>
      <c r="IO47" s="93"/>
      <c r="IP47" s="53"/>
      <c r="IQ47" s="53"/>
      <c r="IR47" s="53"/>
      <c r="IS47" s="53"/>
      <c r="IT47" s="53"/>
      <c r="IU47" s="53"/>
      <c r="IV47" s="53"/>
    </row>
    <row r="48" spans="2:256" ht="14.25" outlineLevel="3">
      <c r="B48" s="98" t="s">
        <v>404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93"/>
      <c r="P48" s="53"/>
      <c r="Q48" s="53"/>
      <c r="R48" s="53"/>
      <c r="S48" s="53"/>
      <c r="T48" s="53"/>
      <c r="U48" s="53"/>
      <c r="V48" s="53"/>
      <c r="W48" s="53"/>
      <c r="X48" s="53"/>
      <c r="Y48" s="53">
        <v>0.44728</v>
      </c>
      <c r="Z48" s="53"/>
      <c r="AA48" s="53"/>
      <c r="AB48" s="93">
        <f>AA48+Z48+Y48+X48+W48+V48+U48+T48+S48+R48+Q48+P48</f>
        <v>0.44728</v>
      </c>
      <c r="AC48" s="53">
        <v>1.34185</v>
      </c>
      <c r="AD48" s="53"/>
      <c r="AE48" s="53"/>
      <c r="AF48" s="53">
        <v>1.34185</v>
      </c>
      <c r="AG48" s="53"/>
      <c r="AH48" s="53"/>
      <c r="AI48" s="53">
        <v>1.34185</v>
      </c>
      <c r="AJ48" s="53"/>
      <c r="AK48" s="53"/>
      <c r="AL48" s="53">
        <v>1.78913</v>
      </c>
      <c r="AM48" s="53"/>
      <c r="AN48" s="53"/>
      <c r="AO48" s="93">
        <f aca="true" t="shared" si="108" ref="AO48:AO53">AN48+AM48+AL48+AK48+AJ48+AI48+AH48+AG48+AF48+AE48+AD48+AC48</f>
        <v>5.81468</v>
      </c>
      <c r="AP48" s="53">
        <v>2.6837</v>
      </c>
      <c r="AQ48" s="53"/>
      <c r="AR48" s="53"/>
      <c r="AS48" s="53">
        <v>2.6837</v>
      </c>
      <c r="AT48" s="53"/>
      <c r="AU48" s="53"/>
      <c r="AV48" s="53">
        <v>2.6837</v>
      </c>
      <c r="AW48" s="53"/>
      <c r="AX48" s="53"/>
      <c r="AY48" s="53">
        <v>2.6837</v>
      </c>
      <c r="AZ48" s="53"/>
      <c r="BA48" s="53"/>
      <c r="BB48" s="93">
        <f t="shared" si="2"/>
        <v>10.7348</v>
      </c>
      <c r="BC48" s="53">
        <v>2.6837</v>
      </c>
      <c r="BD48" s="53"/>
      <c r="BE48" s="53"/>
      <c r="BF48" s="53">
        <v>2.6837</v>
      </c>
      <c r="BG48" s="53"/>
      <c r="BH48" s="53"/>
      <c r="BI48" s="53">
        <v>2.6837</v>
      </c>
      <c r="BJ48" s="53"/>
      <c r="BK48" s="53"/>
      <c r="BL48" s="53">
        <v>2.6837</v>
      </c>
      <c r="BM48" s="53"/>
      <c r="BN48" s="53"/>
      <c r="BO48" s="93">
        <f t="shared" si="4"/>
        <v>10.7348</v>
      </c>
      <c r="BP48" s="53">
        <v>2.6837</v>
      </c>
      <c r="BQ48" s="53"/>
      <c r="BR48" s="53"/>
      <c r="BS48" s="53">
        <v>2.6837</v>
      </c>
      <c r="BT48" s="53"/>
      <c r="BU48" s="53"/>
      <c r="BV48" s="53">
        <v>2.6837</v>
      </c>
      <c r="BW48" s="53"/>
      <c r="BX48" s="53"/>
      <c r="BY48" s="53">
        <v>2.6837</v>
      </c>
      <c r="BZ48" s="53"/>
      <c r="CA48" s="53"/>
      <c r="CB48" s="93">
        <f t="shared" si="106"/>
        <v>10.7348</v>
      </c>
      <c r="CC48" s="53">
        <v>2.6837</v>
      </c>
      <c r="CD48" s="53"/>
      <c r="CE48" s="53"/>
      <c r="CF48" s="53">
        <v>2.6837</v>
      </c>
      <c r="CG48" s="53"/>
      <c r="CH48" s="53"/>
      <c r="CI48" s="53">
        <v>2.6837</v>
      </c>
      <c r="CJ48" s="53"/>
      <c r="CK48" s="53"/>
      <c r="CL48" s="53">
        <v>2.6837</v>
      </c>
      <c r="CM48" s="53"/>
      <c r="CN48" s="53"/>
      <c r="CO48" s="93">
        <f t="shared" si="88"/>
        <v>10.7348</v>
      </c>
      <c r="CP48" s="53">
        <v>2.6837</v>
      </c>
      <c r="CQ48" s="53"/>
      <c r="CR48" s="53"/>
      <c r="CS48" s="53">
        <v>2.6837</v>
      </c>
      <c r="CT48" s="53"/>
      <c r="CU48" s="53"/>
      <c r="CV48" s="53">
        <v>2.6837</v>
      </c>
      <c r="CW48" s="53"/>
      <c r="CX48" s="53"/>
      <c r="CY48" s="53">
        <v>2.6837</v>
      </c>
      <c r="CZ48" s="53"/>
      <c r="DA48" s="53"/>
      <c r="DB48" s="93">
        <f t="shared" si="80"/>
        <v>10.7348</v>
      </c>
      <c r="DC48" s="53">
        <v>2.6837</v>
      </c>
      <c r="DD48" s="53"/>
      <c r="DE48" s="53"/>
      <c r="DF48" s="53">
        <v>2.6837</v>
      </c>
      <c r="DG48" s="53"/>
      <c r="DH48" s="53"/>
      <c r="DI48" s="53">
        <v>2.6837</v>
      </c>
      <c r="DJ48" s="53"/>
      <c r="DK48" s="53"/>
      <c r="DL48" s="53">
        <v>2.6837</v>
      </c>
      <c r="DM48" s="53"/>
      <c r="DN48" s="53"/>
      <c r="DO48" s="93">
        <f t="shared" si="81"/>
        <v>10.7348</v>
      </c>
      <c r="DP48" s="53">
        <v>2.6837</v>
      </c>
      <c r="DQ48" s="53"/>
      <c r="DR48" s="53"/>
      <c r="DS48" s="53">
        <v>2.6837</v>
      </c>
      <c r="DT48" s="53"/>
      <c r="DU48" s="53"/>
      <c r="DV48" s="53">
        <v>2.6837</v>
      </c>
      <c r="DW48" s="53"/>
      <c r="DX48" s="53"/>
      <c r="DY48" s="53">
        <v>2.6837</v>
      </c>
      <c r="DZ48" s="53"/>
      <c r="EA48" s="53"/>
      <c r="EB48" s="93">
        <f t="shared" si="82"/>
        <v>10.7348</v>
      </c>
      <c r="EC48" s="53">
        <v>2.6837</v>
      </c>
      <c r="ED48" s="53"/>
      <c r="EE48" s="53"/>
      <c r="EF48" s="53">
        <v>2.6837</v>
      </c>
      <c r="EG48" s="53"/>
      <c r="EH48" s="53"/>
      <c r="EI48" s="53">
        <v>2.6837</v>
      </c>
      <c r="EJ48" s="53"/>
      <c r="EK48" s="53"/>
      <c r="EL48" s="53">
        <v>2.6837</v>
      </c>
      <c r="EM48" s="53"/>
      <c r="EN48" s="53"/>
      <c r="EO48" s="93">
        <f t="shared" si="83"/>
        <v>10.7348</v>
      </c>
      <c r="EP48" s="53">
        <v>2.6837</v>
      </c>
      <c r="EQ48" s="53"/>
      <c r="ER48" s="53"/>
      <c r="ES48" s="53">
        <v>2.6837</v>
      </c>
      <c r="ET48" s="53"/>
      <c r="EU48" s="53"/>
      <c r="EV48" s="53">
        <v>2.6837</v>
      </c>
      <c r="EW48" s="53"/>
      <c r="EX48" s="53"/>
      <c r="EY48" s="53">
        <v>2.6837</v>
      </c>
      <c r="EZ48" s="53"/>
      <c r="FA48" s="53"/>
      <c r="FB48" s="93">
        <f t="shared" si="84"/>
        <v>10.7348</v>
      </c>
      <c r="FC48" s="53">
        <v>2.6837</v>
      </c>
      <c r="FD48" s="53"/>
      <c r="FE48" s="53"/>
      <c r="FF48" s="53">
        <v>2.6837</v>
      </c>
      <c r="FG48" s="53"/>
      <c r="FH48" s="53"/>
      <c r="FI48" s="53">
        <v>2.6837</v>
      </c>
      <c r="FJ48" s="53"/>
      <c r="FK48" s="53"/>
      <c r="FL48" s="53">
        <v>2.6837</v>
      </c>
      <c r="FM48" s="53"/>
      <c r="FN48" s="53"/>
      <c r="FO48" s="93">
        <f t="shared" si="85"/>
        <v>10.7348</v>
      </c>
      <c r="FP48" s="53">
        <v>2.6837</v>
      </c>
      <c r="FQ48" s="53"/>
      <c r="FR48" s="53"/>
      <c r="FS48" s="53">
        <v>2.6837</v>
      </c>
      <c r="FT48" s="53"/>
      <c r="FU48" s="53"/>
      <c r="FV48" s="53">
        <v>2.6837</v>
      </c>
      <c r="FW48" s="53"/>
      <c r="FX48" s="53"/>
      <c r="FY48" s="53">
        <v>2.6837</v>
      </c>
      <c r="FZ48" s="53"/>
      <c r="GA48" s="53"/>
      <c r="GB48" s="93">
        <f t="shared" si="86"/>
        <v>10.7348</v>
      </c>
      <c r="GC48" s="53">
        <v>2.6837</v>
      </c>
      <c r="GD48" s="53"/>
      <c r="GE48" s="53"/>
      <c r="GF48" s="53">
        <v>2.6837</v>
      </c>
      <c r="GG48" s="53"/>
      <c r="GH48" s="53"/>
      <c r="GI48" s="53">
        <v>2.6837</v>
      </c>
      <c r="GJ48" s="53"/>
      <c r="GK48" s="53"/>
      <c r="GL48" s="53">
        <v>2.6837</v>
      </c>
      <c r="GM48" s="53"/>
      <c r="GN48" s="53"/>
      <c r="GO48" s="93">
        <f t="shared" si="16"/>
        <v>10.7348</v>
      </c>
      <c r="GP48" s="53">
        <v>2.6837</v>
      </c>
      <c r="GQ48" s="53"/>
      <c r="GR48" s="53"/>
      <c r="GS48" s="53">
        <v>2.6837</v>
      </c>
      <c r="GT48" s="53"/>
      <c r="GU48" s="53"/>
      <c r="GV48" s="53">
        <v>2.6837</v>
      </c>
      <c r="GW48" s="53"/>
      <c r="GX48" s="53"/>
      <c r="GY48" s="53">
        <v>2.6837</v>
      </c>
      <c r="GZ48" s="53"/>
      <c r="HA48" s="53"/>
      <c r="HB48" s="93">
        <f t="shared" si="107"/>
        <v>10.7348</v>
      </c>
      <c r="HC48" s="49">
        <f t="shared" si="19"/>
        <v>145.81436000000005</v>
      </c>
      <c r="HD48" s="53"/>
      <c r="HE48" s="53"/>
      <c r="HF48" s="53"/>
      <c r="HG48" s="53"/>
      <c r="HH48" s="53"/>
      <c r="HI48" s="53"/>
      <c r="HJ48" s="53"/>
      <c r="HK48" s="53"/>
      <c r="HL48" s="53"/>
      <c r="HM48" s="53"/>
      <c r="HN48" s="53"/>
      <c r="HO48" s="93"/>
      <c r="HP48" s="53"/>
      <c r="HQ48" s="53"/>
      <c r="HR48" s="53"/>
      <c r="HS48" s="53"/>
      <c r="HT48" s="53"/>
      <c r="HU48" s="53"/>
      <c r="HV48" s="53"/>
      <c r="HW48" s="53"/>
      <c r="HX48" s="53"/>
      <c r="HY48" s="53"/>
      <c r="HZ48" s="53"/>
      <c r="IA48" s="53"/>
      <c r="IB48" s="93"/>
      <c r="IC48" s="53"/>
      <c r="ID48" s="53"/>
      <c r="IE48" s="53"/>
      <c r="IF48" s="53"/>
      <c r="IG48" s="53"/>
      <c r="IH48" s="53"/>
      <c r="II48" s="53"/>
      <c r="IJ48" s="53"/>
      <c r="IK48" s="53"/>
      <c r="IL48" s="53"/>
      <c r="IM48" s="53"/>
      <c r="IN48" s="53"/>
      <c r="IO48" s="93"/>
      <c r="IP48" s="53"/>
      <c r="IQ48" s="53"/>
      <c r="IR48" s="53"/>
      <c r="IS48" s="53"/>
      <c r="IT48" s="53"/>
      <c r="IU48" s="53"/>
      <c r="IV48" s="53"/>
    </row>
    <row r="49" spans="2:256" ht="14.25" outlineLevel="3">
      <c r="B49" s="98" t="s">
        <v>405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93"/>
      <c r="P49" s="53"/>
      <c r="Q49" s="53"/>
      <c r="R49" s="53"/>
      <c r="S49" s="53"/>
      <c r="T49" s="53"/>
      <c r="U49" s="53"/>
      <c r="V49" s="53"/>
      <c r="W49" s="53">
        <v>5.334</v>
      </c>
      <c r="X49" s="53"/>
      <c r="Y49" s="53"/>
      <c r="Z49" s="53"/>
      <c r="AA49" s="53"/>
      <c r="AB49" s="93">
        <f>AA49+Z49+Y49+X49+W49+V49+U49+T49+S49+R49+Q49+P49</f>
        <v>5.334</v>
      </c>
      <c r="AC49" s="53"/>
      <c r="AD49" s="53"/>
      <c r="AE49" s="53"/>
      <c r="AF49" s="53"/>
      <c r="AG49" s="53"/>
      <c r="AH49" s="53"/>
      <c r="AI49" s="53"/>
      <c r="AJ49" s="53">
        <v>5.334</v>
      </c>
      <c r="AK49" s="53"/>
      <c r="AL49" s="53"/>
      <c r="AM49" s="53"/>
      <c r="AN49" s="53"/>
      <c r="AO49" s="93">
        <f t="shared" si="108"/>
        <v>5.334</v>
      </c>
      <c r="AP49" s="53"/>
      <c r="AQ49" s="53"/>
      <c r="AR49" s="53"/>
      <c r="AS49" s="53"/>
      <c r="AT49" s="53"/>
      <c r="AU49" s="53"/>
      <c r="AV49" s="53"/>
      <c r="AW49" s="53">
        <v>5.334</v>
      </c>
      <c r="AX49" s="53"/>
      <c r="AY49" s="53"/>
      <c r="AZ49" s="53"/>
      <c r="BA49" s="53"/>
      <c r="BB49" s="93">
        <f t="shared" si="2"/>
        <v>5.334</v>
      </c>
      <c r="BC49" s="53"/>
      <c r="BD49" s="53"/>
      <c r="BE49" s="53"/>
      <c r="BF49" s="53"/>
      <c r="BG49" s="53"/>
      <c r="BH49" s="53"/>
      <c r="BI49" s="53"/>
      <c r="BJ49" s="53">
        <v>5.334</v>
      </c>
      <c r="BK49" s="53"/>
      <c r="BL49" s="53"/>
      <c r="BM49" s="53"/>
      <c r="BN49" s="53"/>
      <c r="BO49" s="93">
        <f t="shared" si="4"/>
        <v>5.334</v>
      </c>
      <c r="BP49" s="53"/>
      <c r="BQ49" s="53"/>
      <c r="BR49" s="53"/>
      <c r="BS49" s="53"/>
      <c r="BT49" s="53"/>
      <c r="BU49" s="53"/>
      <c r="BV49" s="53"/>
      <c r="BW49" s="53">
        <v>5.334</v>
      </c>
      <c r="BX49" s="53"/>
      <c r="BY49" s="53"/>
      <c r="BZ49" s="53"/>
      <c r="CA49" s="53"/>
      <c r="CB49" s="93">
        <f t="shared" si="106"/>
        <v>5.334</v>
      </c>
      <c r="CC49" s="53"/>
      <c r="CD49" s="53"/>
      <c r="CE49" s="53"/>
      <c r="CF49" s="53"/>
      <c r="CG49" s="53"/>
      <c r="CH49" s="53"/>
      <c r="CI49" s="53"/>
      <c r="CJ49" s="53">
        <v>5.334</v>
      </c>
      <c r="CK49" s="53"/>
      <c r="CL49" s="53"/>
      <c r="CM49" s="53"/>
      <c r="CN49" s="53"/>
      <c r="CO49" s="93">
        <f t="shared" si="88"/>
        <v>5.334</v>
      </c>
      <c r="CP49" s="53"/>
      <c r="CQ49" s="53"/>
      <c r="CR49" s="53"/>
      <c r="CS49" s="53"/>
      <c r="CT49" s="53"/>
      <c r="CU49" s="53"/>
      <c r="CV49" s="53"/>
      <c r="CW49" s="53">
        <v>5.334</v>
      </c>
      <c r="CX49" s="53"/>
      <c r="CY49" s="53"/>
      <c r="CZ49" s="53"/>
      <c r="DA49" s="53"/>
      <c r="DB49" s="93">
        <f t="shared" si="80"/>
        <v>5.334</v>
      </c>
      <c r="DC49" s="53"/>
      <c r="DD49" s="53"/>
      <c r="DE49" s="53"/>
      <c r="DF49" s="53"/>
      <c r="DG49" s="53"/>
      <c r="DH49" s="53"/>
      <c r="DI49" s="53"/>
      <c r="DJ49" s="53">
        <v>5.334</v>
      </c>
      <c r="DK49" s="53"/>
      <c r="DL49" s="53"/>
      <c r="DM49" s="53"/>
      <c r="DN49" s="53"/>
      <c r="DO49" s="93">
        <f t="shared" si="81"/>
        <v>5.334</v>
      </c>
      <c r="DP49" s="53"/>
      <c r="DQ49" s="53"/>
      <c r="DR49" s="53"/>
      <c r="DS49" s="53"/>
      <c r="DT49" s="53"/>
      <c r="DU49" s="53"/>
      <c r="DV49" s="53"/>
      <c r="DW49" s="53">
        <v>5.334</v>
      </c>
      <c r="DX49" s="53"/>
      <c r="DY49" s="53"/>
      <c r="DZ49" s="53"/>
      <c r="EA49" s="53"/>
      <c r="EB49" s="93">
        <f t="shared" si="82"/>
        <v>5.334</v>
      </c>
      <c r="EC49" s="53"/>
      <c r="ED49" s="53"/>
      <c r="EE49" s="53"/>
      <c r="EF49" s="53"/>
      <c r="EG49" s="53"/>
      <c r="EH49" s="53"/>
      <c r="EI49" s="53"/>
      <c r="EJ49" s="53">
        <v>5.334</v>
      </c>
      <c r="EK49" s="53"/>
      <c r="EL49" s="53"/>
      <c r="EM49" s="53"/>
      <c r="EN49" s="53"/>
      <c r="EO49" s="93">
        <f t="shared" si="83"/>
        <v>5.334</v>
      </c>
      <c r="EP49" s="53"/>
      <c r="EQ49" s="53"/>
      <c r="ER49" s="53"/>
      <c r="ES49" s="53"/>
      <c r="ET49" s="53"/>
      <c r="EU49" s="53"/>
      <c r="EV49" s="53"/>
      <c r="EW49" s="53">
        <v>5.334</v>
      </c>
      <c r="EX49" s="53"/>
      <c r="EY49" s="53"/>
      <c r="EZ49" s="53"/>
      <c r="FA49" s="53"/>
      <c r="FB49" s="93">
        <f t="shared" si="84"/>
        <v>5.334</v>
      </c>
      <c r="FC49" s="53"/>
      <c r="FD49" s="53"/>
      <c r="FE49" s="53"/>
      <c r="FF49" s="53"/>
      <c r="FG49" s="53"/>
      <c r="FH49" s="53"/>
      <c r="FI49" s="53"/>
      <c r="FJ49" s="53">
        <v>5.334</v>
      </c>
      <c r="FK49" s="53"/>
      <c r="FL49" s="53"/>
      <c r="FM49" s="53"/>
      <c r="FN49" s="53"/>
      <c r="FO49" s="93">
        <f t="shared" si="85"/>
        <v>5.334</v>
      </c>
      <c r="FP49" s="53"/>
      <c r="FQ49" s="53"/>
      <c r="FR49" s="53"/>
      <c r="FS49" s="53"/>
      <c r="FT49" s="53"/>
      <c r="FU49" s="53"/>
      <c r="FV49" s="53"/>
      <c r="FW49" s="53">
        <v>5.334</v>
      </c>
      <c r="FX49" s="53"/>
      <c r="FY49" s="53"/>
      <c r="FZ49" s="53"/>
      <c r="GA49" s="53"/>
      <c r="GB49" s="93">
        <f t="shared" si="86"/>
        <v>5.334</v>
      </c>
      <c r="GC49" s="53"/>
      <c r="GD49" s="53"/>
      <c r="GE49" s="53"/>
      <c r="GF49" s="53"/>
      <c r="GG49" s="53"/>
      <c r="GH49" s="53"/>
      <c r="GI49" s="53"/>
      <c r="GJ49" s="53">
        <v>5.334</v>
      </c>
      <c r="GK49" s="53"/>
      <c r="GL49" s="53"/>
      <c r="GM49" s="53"/>
      <c r="GN49" s="53"/>
      <c r="GO49" s="93">
        <f t="shared" si="16"/>
        <v>5.334</v>
      </c>
      <c r="GP49" s="53"/>
      <c r="GQ49" s="53"/>
      <c r="GR49" s="53"/>
      <c r="GS49" s="53"/>
      <c r="GT49" s="53"/>
      <c r="GU49" s="53"/>
      <c r="GV49" s="53"/>
      <c r="GW49" s="53">
        <v>5.334</v>
      </c>
      <c r="GX49" s="53"/>
      <c r="GY49" s="53"/>
      <c r="GZ49" s="53"/>
      <c r="HA49" s="53"/>
      <c r="HB49" s="93">
        <f t="shared" si="107"/>
        <v>5.334</v>
      </c>
      <c r="HC49" s="49">
        <f t="shared" si="19"/>
        <v>80.01000000000002</v>
      </c>
      <c r="HD49" s="53"/>
      <c r="HE49" s="53"/>
      <c r="HF49" s="53"/>
      <c r="HG49" s="53"/>
      <c r="HH49" s="53"/>
      <c r="HI49" s="53"/>
      <c r="HJ49" s="53"/>
      <c r="HK49" s="53"/>
      <c r="HL49" s="53"/>
      <c r="HM49" s="53"/>
      <c r="HN49" s="53"/>
      <c r="HO49" s="93"/>
      <c r="HP49" s="53"/>
      <c r="HQ49" s="53"/>
      <c r="HR49" s="53"/>
      <c r="HS49" s="53"/>
      <c r="HT49" s="53"/>
      <c r="HU49" s="53"/>
      <c r="HV49" s="53"/>
      <c r="HW49" s="53"/>
      <c r="HX49" s="53"/>
      <c r="HY49" s="53"/>
      <c r="HZ49" s="53"/>
      <c r="IA49" s="53"/>
      <c r="IB49" s="93"/>
      <c r="IC49" s="53"/>
      <c r="ID49" s="53"/>
      <c r="IE49" s="53"/>
      <c r="IF49" s="53"/>
      <c r="IG49" s="53"/>
      <c r="IH49" s="53"/>
      <c r="II49" s="53"/>
      <c r="IJ49" s="53"/>
      <c r="IK49" s="53"/>
      <c r="IL49" s="53"/>
      <c r="IM49" s="53"/>
      <c r="IN49" s="53"/>
      <c r="IO49" s="93"/>
      <c r="IP49" s="53"/>
      <c r="IQ49" s="53"/>
      <c r="IR49" s="53"/>
      <c r="IS49" s="53"/>
      <c r="IT49" s="53"/>
      <c r="IU49" s="53"/>
      <c r="IV49" s="53"/>
    </row>
    <row r="50" spans="2:256" ht="14.25" outlineLevel="3">
      <c r="B50" s="98" t="s">
        <v>406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9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93"/>
      <c r="AC50" s="53"/>
      <c r="AD50" s="53"/>
      <c r="AE50" s="53"/>
      <c r="AF50" s="53"/>
      <c r="AG50" s="53"/>
      <c r="AH50" s="53"/>
      <c r="AI50" s="53"/>
      <c r="AJ50" s="53">
        <v>13.696</v>
      </c>
      <c r="AK50" s="53"/>
      <c r="AL50" s="53"/>
      <c r="AM50" s="53"/>
      <c r="AN50" s="53"/>
      <c r="AO50" s="93">
        <f t="shared" si="108"/>
        <v>13.696</v>
      </c>
      <c r="AP50" s="53"/>
      <c r="AQ50" s="53"/>
      <c r="AR50" s="53"/>
      <c r="AS50" s="53"/>
      <c r="AT50" s="53"/>
      <c r="AU50" s="53"/>
      <c r="AV50" s="53"/>
      <c r="AW50" s="53">
        <v>20.544</v>
      </c>
      <c r="AX50" s="53"/>
      <c r="AY50" s="53"/>
      <c r="AZ50" s="53"/>
      <c r="BA50" s="53"/>
      <c r="BB50" s="93">
        <f t="shared" si="2"/>
        <v>20.544</v>
      </c>
      <c r="BC50" s="53"/>
      <c r="BD50" s="53"/>
      <c r="BE50" s="53"/>
      <c r="BF50" s="53"/>
      <c r="BG50" s="53"/>
      <c r="BH50" s="53"/>
      <c r="BI50" s="53"/>
      <c r="BJ50" s="53">
        <v>20.544</v>
      </c>
      <c r="BK50" s="53"/>
      <c r="BL50" s="53"/>
      <c r="BM50" s="53"/>
      <c r="BN50" s="53"/>
      <c r="BO50" s="93">
        <f t="shared" si="4"/>
        <v>20.544</v>
      </c>
      <c r="BP50" s="53"/>
      <c r="BQ50" s="53"/>
      <c r="BR50" s="53"/>
      <c r="BS50" s="53"/>
      <c r="BT50" s="53"/>
      <c r="BU50" s="53"/>
      <c r="BV50" s="53"/>
      <c r="BW50" s="53">
        <v>20.544</v>
      </c>
      <c r="BX50" s="53"/>
      <c r="BY50" s="53"/>
      <c r="BZ50" s="53"/>
      <c r="CA50" s="53"/>
      <c r="CB50" s="93">
        <f t="shared" si="106"/>
        <v>20.544</v>
      </c>
      <c r="CC50" s="53"/>
      <c r="CD50" s="53"/>
      <c r="CE50" s="53"/>
      <c r="CF50" s="53"/>
      <c r="CG50" s="53"/>
      <c r="CH50" s="53"/>
      <c r="CI50" s="53"/>
      <c r="CJ50" s="53">
        <v>20.544</v>
      </c>
      <c r="CK50" s="53"/>
      <c r="CL50" s="53"/>
      <c r="CM50" s="53"/>
      <c r="CN50" s="53"/>
      <c r="CO50" s="93">
        <f t="shared" si="88"/>
        <v>20.544</v>
      </c>
      <c r="CP50" s="53"/>
      <c r="CQ50" s="53"/>
      <c r="CR50" s="53"/>
      <c r="CS50" s="53"/>
      <c r="CT50" s="53"/>
      <c r="CU50" s="53"/>
      <c r="CV50" s="53"/>
      <c r="CW50" s="53">
        <v>20.544</v>
      </c>
      <c r="CX50" s="53"/>
      <c r="CY50" s="53"/>
      <c r="CZ50" s="53"/>
      <c r="DA50" s="53"/>
      <c r="DB50" s="93">
        <f t="shared" si="80"/>
        <v>20.544</v>
      </c>
      <c r="DC50" s="53"/>
      <c r="DD50" s="53"/>
      <c r="DE50" s="53"/>
      <c r="DF50" s="53"/>
      <c r="DG50" s="53"/>
      <c r="DH50" s="53"/>
      <c r="DI50" s="53"/>
      <c r="DJ50" s="53">
        <v>20.544</v>
      </c>
      <c r="DK50" s="53"/>
      <c r="DL50" s="53"/>
      <c r="DM50" s="53"/>
      <c r="DN50" s="53"/>
      <c r="DO50" s="93">
        <f t="shared" si="81"/>
        <v>20.544</v>
      </c>
      <c r="DP50" s="53"/>
      <c r="DQ50" s="53"/>
      <c r="DR50" s="53"/>
      <c r="DS50" s="53"/>
      <c r="DT50" s="53"/>
      <c r="DU50" s="53"/>
      <c r="DV50" s="53"/>
      <c r="DW50" s="53">
        <v>20.544</v>
      </c>
      <c r="DX50" s="53"/>
      <c r="DY50" s="53"/>
      <c r="DZ50" s="53"/>
      <c r="EA50" s="53"/>
      <c r="EB50" s="93">
        <f t="shared" si="82"/>
        <v>20.544</v>
      </c>
      <c r="EC50" s="53"/>
      <c r="ED50" s="53"/>
      <c r="EE50" s="53"/>
      <c r="EF50" s="53"/>
      <c r="EG50" s="53"/>
      <c r="EH50" s="53"/>
      <c r="EI50" s="53"/>
      <c r="EJ50" s="53">
        <v>20.544</v>
      </c>
      <c r="EK50" s="53"/>
      <c r="EL50" s="53"/>
      <c r="EM50" s="53"/>
      <c r="EN50" s="53"/>
      <c r="EO50" s="93">
        <f t="shared" si="83"/>
        <v>20.544</v>
      </c>
      <c r="EP50" s="53"/>
      <c r="EQ50" s="53"/>
      <c r="ER50" s="53"/>
      <c r="ES50" s="53"/>
      <c r="ET50" s="53"/>
      <c r="EU50" s="53"/>
      <c r="EV50" s="53"/>
      <c r="EW50" s="53">
        <v>20.544</v>
      </c>
      <c r="EX50" s="53"/>
      <c r="EY50" s="53"/>
      <c r="EZ50" s="53"/>
      <c r="FA50" s="53"/>
      <c r="FB50" s="93">
        <f t="shared" si="84"/>
        <v>20.544</v>
      </c>
      <c r="FC50" s="53"/>
      <c r="FD50" s="53"/>
      <c r="FE50" s="53"/>
      <c r="FF50" s="53"/>
      <c r="FG50" s="53"/>
      <c r="FH50" s="53"/>
      <c r="FI50" s="53"/>
      <c r="FJ50" s="53">
        <v>20.544</v>
      </c>
      <c r="FK50" s="53"/>
      <c r="FL50" s="53"/>
      <c r="FM50" s="53"/>
      <c r="FN50" s="53"/>
      <c r="FO50" s="93">
        <f t="shared" si="85"/>
        <v>20.544</v>
      </c>
      <c r="FP50" s="53"/>
      <c r="FQ50" s="53"/>
      <c r="FR50" s="53"/>
      <c r="FS50" s="53"/>
      <c r="FT50" s="53"/>
      <c r="FU50" s="53"/>
      <c r="FV50" s="53"/>
      <c r="FW50" s="53">
        <v>20.544</v>
      </c>
      <c r="FX50" s="53"/>
      <c r="FY50" s="53"/>
      <c r="FZ50" s="53"/>
      <c r="GA50" s="53"/>
      <c r="GB50" s="93">
        <f t="shared" si="86"/>
        <v>20.544</v>
      </c>
      <c r="GC50" s="53"/>
      <c r="GD50" s="53"/>
      <c r="GE50" s="53"/>
      <c r="GF50" s="53"/>
      <c r="GG50" s="53"/>
      <c r="GH50" s="53"/>
      <c r="GI50" s="53"/>
      <c r="GJ50" s="53">
        <v>20.544</v>
      </c>
      <c r="GK50" s="53"/>
      <c r="GL50" s="53"/>
      <c r="GM50" s="53"/>
      <c r="GN50" s="53"/>
      <c r="GO50" s="93">
        <f t="shared" si="16"/>
        <v>20.544</v>
      </c>
      <c r="GP50" s="53"/>
      <c r="GQ50" s="53"/>
      <c r="GR50" s="53"/>
      <c r="GS50" s="53"/>
      <c r="GT50" s="53"/>
      <c r="GU50" s="53"/>
      <c r="GV50" s="53"/>
      <c r="GW50" s="53">
        <v>20.544</v>
      </c>
      <c r="GX50" s="53"/>
      <c r="GY50" s="53"/>
      <c r="GZ50" s="53"/>
      <c r="HA50" s="53"/>
      <c r="HB50" s="93">
        <f t="shared" si="107"/>
        <v>20.544</v>
      </c>
      <c r="HC50" s="49">
        <f t="shared" si="19"/>
        <v>280.7680000000001</v>
      </c>
      <c r="HD50" s="53"/>
      <c r="HE50" s="53"/>
      <c r="HF50" s="53"/>
      <c r="HG50" s="53"/>
      <c r="HH50" s="53"/>
      <c r="HI50" s="53"/>
      <c r="HJ50" s="53"/>
      <c r="HK50" s="53"/>
      <c r="HL50" s="53"/>
      <c r="HM50" s="53"/>
      <c r="HN50" s="53"/>
      <c r="HO50" s="93"/>
      <c r="HP50" s="53"/>
      <c r="HQ50" s="53"/>
      <c r="HR50" s="53"/>
      <c r="HS50" s="53"/>
      <c r="HT50" s="53"/>
      <c r="HU50" s="53"/>
      <c r="HV50" s="53"/>
      <c r="HW50" s="53"/>
      <c r="HX50" s="53"/>
      <c r="HY50" s="53"/>
      <c r="HZ50" s="53"/>
      <c r="IA50" s="53"/>
      <c r="IB50" s="93"/>
      <c r="IC50" s="53"/>
      <c r="ID50" s="53"/>
      <c r="IE50" s="53"/>
      <c r="IF50" s="53"/>
      <c r="IG50" s="53"/>
      <c r="IH50" s="53"/>
      <c r="II50" s="53"/>
      <c r="IJ50" s="53"/>
      <c r="IK50" s="53"/>
      <c r="IL50" s="53"/>
      <c r="IM50" s="53"/>
      <c r="IN50" s="53"/>
      <c r="IO50" s="93"/>
      <c r="IP50" s="53"/>
      <c r="IQ50" s="53"/>
      <c r="IR50" s="53"/>
      <c r="IS50" s="53"/>
      <c r="IT50" s="53"/>
      <c r="IU50" s="53"/>
      <c r="IV50" s="53"/>
    </row>
    <row r="51" spans="2:256" ht="14.25" outlineLevel="3">
      <c r="B51" s="98" t="s">
        <v>407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9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93"/>
      <c r="AC51" s="53"/>
      <c r="AD51" s="53"/>
      <c r="AE51" s="53"/>
      <c r="AF51" s="53"/>
      <c r="AG51" s="53"/>
      <c r="AH51" s="53"/>
      <c r="AI51" s="53"/>
      <c r="AJ51" s="53">
        <v>50</v>
      </c>
      <c r="AK51" s="53"/>
      <c r="AL51" s="53"/>
      <c r="AM51" s="53"/>
      <c r="AN51" s="53"/>
      <c r="AO51" s="93">
        <f t="shared" si="108"/>
        <v>50</v>
      </c>
      <c r="AP51" s="53"/>
      <c r="AQ51" s="53"/>
      <c r="AR51" s="53"/>
      <c r="AS51" s="53"/>
      <c r="AT51" s="53"/>
      <c r="AU51" s="53"/>
      <c r="AV51" s="53"/>
      <c r="AW51" s="53">
        <v>50</v>
      </c>
      <c r="AX51" s="53"/>
      <c r="AY51" s="53"/>
      <c r="AZ51" s="53"/>
      <c r="BA51" s="53"/>
      <c r="BB51" s="93">
        <f t="shared" si="2"/>
        <v>50</v>
      </c>
      <c r="BC51" s="53"/>
      <c r="BD51" s="53"/>
      <c r="BE51" s="53"/>
      <c r="BF51" s="53"/>
      <c r="BG51" s="53"/>
      <c r="BH51" s="53"/>
      <c r="BI51" s="53"/>
      <c r="BJ51" s="53">
        <v>50</v>
      </c>
      <c r="BK51" s="53"/>
      <c r="BL51" s="53"/>
      <c r="BM51" s="53"/>
      <c r="BN51" s="53"/>
      <c r="BO51" s="93">
        <f t="shared" si="4"/>
        <v>50</v>
      </c>
      <c r="BP51" s="53"/>
      <c r="BQ51" s="53"/>
      <c r="BR51" s="53"/>
      <c r="BS51" s="53"/>
      <c r="BT51" s="53"/>
      <c r="BU51" s="53"/>
      <c r="BV51" s="53"/>
      <c r="BW51" s="53">
        <v>50</v>
      </c>
      <c r="BX51" s="53"/>
      <c r="BY51" s="53"/>
      <c r="BZ51" s="53"/>
      <c r="CA51" s="53"/>
      <c r="CB51" s="93">
        <f t="shared" si="106"/>
        <v>50</v>
      </c>
      <c r="CC51" s="53"/>
      <c r="CD51" s="53"/>
      <c r="CE51" s="53"/>
      <c r="CF51" s="53"/>
      <c r="CG51" s="53"/>
      <c r="CH51" s="53"/>
      <c r="CI51" s="53"/>
      <c r="CJ51" s="53">
        <v>50</v>
      </c>
      <c r="CK51" s="53"/>
      <c r="CL51" s="53"/>
      <c r="CM51" s="53"/>
      <c r="CN51" s="53"/>
      <c r="CO51" s="93">
        <f t="shared" si="88"/>
        <v>50</v>
      </c>
      <c r="CP51" s="53"/>
      <c r="CQ51" s="53"/>
      <c r="CR51" s="53"/>
      <c r="CS51" s="53"/>
      <c r="CT51" s="53"/>
      <c r="CU51" s="53"/>
      <c r="CV51" s="53"/>
      <c r="CW51" s="53">
        <v>50</v>
      </c>
      <c r="CX51" s="53"/>
      <c r="CY51" s="53"/>
      <c r="CZ51" s="53"/>
      <c r="DA51" s="53"/>
      <c r="DB51" s="93">
        <f t="shared" si="80"/>
        <v>50</v>
      </c>
      <c r="DC51" s="53"/>
      <c r="DD51" s="53"/>
      <c r="DE51" s="53"/>
      <c r="DF51" s="53"/>
      <c r="DG51" s="53"/>
      <c r="DH51" s="53"/>
      <c r="DI51" s="53"/>
      <c r="DJ51" s="53">
        <v>50</v>
      </c>
      <c r="DK51" s="53"/>
      <c r="DL51" s="53"/>
      <c r="DM51" s="53"/>
      <c r="DN51" s="53"/>
      <c r="DO51" s="93">
        <f t="shared" si="81"/>
        <v>50</v>
      </c>
      <c r="DP51" s="53"/>
      <c r="DQ51" s="53"/>
      <c r="DR51" s="53"/>
      <c r="DS51" s="53"/>
      <c r="DT51" s="53"/>
      <c r="DU51" s="53"/>
      <c r="DV51" s="53"/>
      <c r="DW51" s="53">
        <v>50</v>
      </c>
      <c r="DX51" s="53"/>
      <c r="DY51" s="53"/>
      <c r="DZ51" s="53"/>
      <c r="EA51" s="53"/>
      <c r="EB51" s="93">
        <f t="shared" si="82"/>
        <v>50</v>
      </c>
      <c r="EC51" s="53"/>
      <c r="ED51" s="53"/>
      <c r="EE51" s="53"/>
      <c r="EF51" s="53"/>
      <c r="EG51" s="53"/>
      <c r="EH51" s="53"/>
      <c r="EI51" s="53"/>
      <c r="EJ51" s="53">
        <v>50</v>
      </c>
      <c r="EK51" s="53"/>
      <c r="EL51" s="53"/>
      <c r="EM51" s="53"/>
      <c r="EN51" s="53"/>
      <c r="EO51" s="93">
        <f t="shared" si="83"/>
        <v>50</v>
      </c>
      <c r="EP51" s="53"/>
      <c r="EQ51" s="53"/>
      <c r="ER51" s="53"/>
      <c r="ES51" s="53"/>
      <c r="ET51" s="53"/>
      <c r="EU51" s="53"/>
      <c r="EV51" s="53"/>
      <c r="EW51" s="53">
        <v>50</v>
      </c>
      <c r="EX51" s="53"/>
      <c r="EY51" s="53"/>
      <c r="EZ51" s="53"/>
      <c r="FA51" s="53"/>
      <c r="FB51" s="93">
        <f t="shared" si="84"/>
        <v>50</v>
      </c>
      <c r="FC51" s="53"/>
      <c r="FD51" s="53"/>
      <c r="FE51" s="53"/>
      <c r="FF51" s="53"/>
      <c r="FG51" s="53"/>
      <c r="FH51" s="53"/>
      <c r="FI51" s="53"/>
      <c r="FJ51" s="53">
        <v>50</v>
      </c>
      <c r="FK51" s="53"/>
      <c r="FL51" s="53"/>
      <c r="FM51" s="53"/>
      <c r="FN51" s="53"/>
      <c r="FO51" s="93">
        <f t="shared" si="85"/>
        <v>50</v>
      </c>
      <c r="FP51" s="53"/>
      <c r="FQ51" s="53"/>
      <c r="FR51" s="53"/>
      <c r="FS51" s="53"/>
      <c r="FT51" s="53"/>
      <c r="FU51" s="53"/>
      <c r="FV51" s="53"/>
      <c r="FW51" s="53">
        <v>50</v>
      </c>
      <c r="FX51" s="53"/>
      <c r="FY51" s="53"/>
      <c r="FZ51" s="53"/>
      <c r="GA51" s="53"/>
      <c r="GB51" s="93">
        <f t="shared" si="86"/>
        <v>50</v>
      </c>
      <c r="GC51" s="53"/>
      <c r="GD51" s="53"/>
      <c r="GE51" s="53"/>
      <c r="GF51" s="53"/>
      <c r="GG51" s="53"/>
      <c r="GH51" s="53"/>
      <c r="GI51" s="53"/>
      <c r="GJ51" s="53">
        <v>50</v>
      </c>
      <c r="GK51" s="53"/>
      <c r="GL51" s="53"/>
      <c r="GM51" s="53"/>
      <c r="GN51" s="53"/>
      <c r="GO51" s="93">
        <f t="shared" si="16"/>
        <v>50</v>
      </c>
      <c r="GP51" s="53"/>
      <c r="GQ51" s="53"/>
      <c r="GR51" s="53"/>
      <c r="GS51" s="53"/>
      <c r="GT51" s="53"/>
      <c r="GU51" s="53"/>
      <c r="GV51" s="53"/>
      <c r="GW51" s="53">
        <v>50</v>
      </c>
      <c r="GX51" s="53"/>
      <c r="GY51" s="53"/>
      <c r="GZ51" s="53"/>
      <c r="HA51" s="53"/>
      <c r="HB51" s="93">
        <f t="shared" si="107"/>
        <v>50</v>
      </c>
      <c r="HC51" s="49">
        <f t="shared" si="19"/>
        <v>700</v>
      </c>
      <c r="HD51" s="53"/>
      <c r="HE51" s="53"/>
      <c r="HF51" s="53"/>
      <c r="HG51" s="53"/>
      <c r="HH51" s="53"/>
      <c r="HI51" s="53"/>
      <c r="HJ51" s="53"/>
      <c r="HK51" s="53"/>
      <c r="HL51" s="53"/>
      <c r="HM51" s="53"/>
      <c r="HN51" s="53"/>
      <c r="HO51" s="93"/>
      <c r="HP51" s="53"/>
      <c r="HQ51" s="53"/>
      <c r="HR51" s="53"/>
      <c r="HS51" s="53"/>
      <c r="HT51" s="53"/>
      <c r="HU51" s="53"/>
      <c r="HV51" s="53"/>
      <c r="HW51" s="53"/>
      <c r="HX51" s="53"/>
      <c r="HY51" s="53"/>
      <c r="HZ51" s="53"/>
      <c r="IA51" s="53"/>
      <c r="IB51" s="93"/>
      <c r="IC51" s="53"/>
      <c r="ID51" s="53"/>
      <c r="IE51" s="53"/>
      <c r="IF51" s="53"/>
      <c r="IG51" s="53"/>
      <c r="IH51" s="53"/>
      <c r="II51" s="53"/>
      <c r="IJ51" s="53"/>
      <c r="IK51" s="53"/>
      <c r="IL51" s="53"/>
      <c r="IM51" s="53"/>
      <c r="IN51" s="53"/>
      <c r="IO51" s="93"/>
      <c r="IP51" s="53"/>
      <c r="IQ51" s="53"/>
      <c r="IR51" s="53"/>
      <c r="IS51" s="53"/>
      <c r="IT51" s="53"/>
      <c r="IU51" s="53"/>
      <c r="IV51" s="53"/>
    </row>
    <row r="52" spans="2:256" ht="14.25" outlineLevel="3">
      <c r="B52" s="98" t="s">
        <v>408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9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93"/>
      <c r="AC52" s="53"/>
      <c r="AD52" s="53"/>
      <c r="AE52" s="53"/>
      <c r="AF52" s="53"/>
      <c r="AG52" s="53"/>
      <c r="AH52" s="53"/>
      <c r="AI52" s="53"/>
      <c r="AJ52" s="53">
        <v>4</v>
      </c>
      <c r="AK52" s="53"/>
      <c r="AL52" s="53"/>
      <c r="AM52" s="53"/>
      <c r="AN52" s="53"/>
      <c r="AO52" s="93">
        <f t="shared" si="108"/>
        <v>4</v>
      </c>
      <c r="AP52" s="53"/>
      <c r="AQ52" s="53"/>
      <c r="AR52" s="53"/>
      <c r="AS52" s="53"/>
      <c r="AT52" s="53"/>
      <c r="AU52" s="53"/>
      <c r="AV52" s="53"/>
      <c r="AW52" s="53">
        <v>4</v>
      </c>
      <c r="AX52" s="53"/>
      <c r="AY52" s="53"/>
      <c r="AZ52" s="53"/>
      <c r="BA52" s="53"/>
      <c r="BB52" s="93">
        <f t="shared" si="2"/>
        <v>4</v>
      </c>
      <c r="BC52" s="53"/>
      <c r="BD52" s="53"/>
      <c r="BE52" s="53"/>
      <c r="BF52" s="53"/>
      <c r="BG52" s="53"/>
      <c r="BH52" s="53"/>
      <c r="BI52" s="53"/>
      <c r="BJ52" s="53">
        <v>4</v>
      </c>
      <c r="BK52" s="53"/>
      <c r="BL52" s="53"/>
      <c r="BM52" s="53"/>
      <c r="BN52" s="53"/>
      <c r="BO52" s="93">
        <f t="shared" si="4"/>
        <v>4</v>
      </c>
      <c r="BP52" s="53"/>
      <c r="BQ52" s="53"/>
      <c r="BR52" s="53"/>
      <c r="BS52" s="53"/>
      <c r="BT52" s="53"/>
      <c r="BU52" s="53"/>
      <c r="BV52" s="53"/>
      <c r="BW52" s="53">
        <v>4</v>
      </c>
      <c r="BX52" s="53"/>
      <c r="BY52" s="53"/>
      <c r="BZ52" s="53"/>
      <c r="CA52" s="53"/>
      <c r="CB52" s="93">
        <f t="shared" si="106"/>
        <v>4</v>
      </c>
      <c r="CC52" s="53"/>
      <c r="CD52" s="53"/>
      <c r="CE52" s="53"/>
      <c r="CF52" s="53"/>
      <c r="CG52" s="53"/>
      <c r="CH52" s="53"/>
      <c r="CI52" s="53"/>
      <c r="CJ52" s="53">
        <v>4</v>
      </c>
      <c r="CK52" s="53"/>
      <c r="CL52" s="53"/>
      <c r="CM52" s="53"/>
      <c r="CN52" s="53"/>
      <c r="CO52" s="93">
        <f t="shared" si="88"/>
        <v>4</v>
      </c>
      <c r="CP52" s="53"/>
      <c r="CQ52" s="53"/>
      <c r="CR52" s="53"/>
      <c r="CS52" s="53"/>
      <c r="CT52" s="53"/>
      <c r="CU52" s="53"/>
      <c r="CV52" s="53"/>
      <c r="CW52" s="53">
        <v>4</v>
      </c>
      <c r="CX52" s="53"/>
      <c r="CY52" s="53"/>
      <c r="CZ52" s="53"/>
      <c r="DA52" s="53"/>
      <c r="DB52" s="93">
        <f t="shared" si="80"/>
        <v>4</v>
      </c>
      <c r="DC52" s="53"/>
      <c r="DD52" s="53"/>
      <c r="DE52" s="53"/>
      <c r="DF52" s="53"/>
      <c r="DG52" s="53"/>
      <c r="DH52" s="53"/>
      <c r="DI52" s="53"/>
      <c r="DJ52" s="53">
        <v>4</v>
      </c>
      <c r="DK52" s="53"/>
      <c r="DL52" s="53"/>
      <c r="DM52" s="53"/>
      <c r="DN52" s="53"/>
      <c r="DO52" s="93">
        <f t="shared" si="81"/>
        <v>4</v>
      </c>
      <c r="DP52" s="53"/>
      <c r="DQ52" s="53"/>
      <c r="DR52" s="53"/>
      <c r="DS52" s="53"/>
      <c r="DT52" s="53"/>
      <c r="DU52" s="53"/>
      <c r="DV52" s="53"/>
      <c r="DW52" s="53">
        <v>4</v>
      </c>
      <c r="DX52" s="53"/>
      <c r="DY52" s="53"/>
      <c r="DZ52" s="53"/>
      <c r="EA52" s="53"/>
      <c r="EB52" s="93">
        <f t="shared" si="82"/>
        <v>4</v>
      </c>
      <c r="EC52" s="53"/>
      <c r="ED52" s="53"/>
      <c r="EE52" s="53"/>
      <c r="EF52" s="53"/>
      <c r="EG52" s="53"/>
      <c r="EH52" s="53"/>
      <c r="EI52" s="53"/>
      <c r="EJ52" s="53">
        <v>4</v>
      </c>
      <c r="EK52" s="53"/>
      <c r="EL52" s="53"/>
      <c r="EM52" s="53"/>
      <c r="EN52" s="53"/>
      <c r="EO52" s="93">
        <f t="shared" si="83"/>
        <v>4</v>
      </c>
      <c r="EP52" s="53"/>
      <c r="EQ52" s="53"/>
      <c r="ER52" s="53"/>
      <c r="ES52" s="53"/>
      <c r="ET52" s="53"/>
      <c r="EU52" s="53"/>
      <c r="EV52" s="53"/>
      <c r="EW52" s="53">
        <v>4</v>
      </c>
      <c r="EX52" s="53"/>
      <c r="EY52" s="53"/>
      <c r="EZ52" s="53"/>
      <c r="FA52" s="53"/>
      <c r="FB52" s="93">
        <f t="shared" si="84"/>
        <v>4</v>
      </c>
      <c r="FC52" s="53"/>
      <c r="FD52" s="53"/>
      <c r="FE52" s="53"/>
      <c r="FF52" s="53"/>
      <c r="FG52" s="53"/>
      <c r="FH52" s="53"/>
      <c r="FI52" s="53"/>
      <c r="FJ52" s="53">
        <v>4</v>
      </c>
      <c r="FK52" s="53"/>
      <c r="FL52" s="53"/>
      <c r="FM52" s="53"/>
      <c r="FN52" s="53"/>
      <c r="FO52" s="93">
        <f t="shared" si="85"/>
        <v>4</v>
      </c>
      <c r="FP52" s="53"/>
      <c r="FQ52" s="53"/>
      <c r="FR52" s="53"/>
      <c r="FS52" s="53"/>
      <c r="FT52" s="53"/>
      <c r="FU52" s="53"/>
      <c r="FV52" s="53"/>
      <c r="FW52" s="53">
        <v>4</v>
      </c>
      <c r="FX52" s="53"/>
      <c r="FY52" s="53"/>
      <c r="FZ52" s="53"/>
      <c r="GA52" s="53"/>
      <c r="GB52" s="93">
        <f t="shared" si="86"/>
        <v>4</v>
      </c>
      <c r="GC52" s="53"/>
      <c r="GD52" s="53"/>
      <c r="GE52" s="53"/>
      <c r="GF52" s="53"/>
      <c r="GG52" s="53"/>
      <c r="GH52" s="53"/>
      <c r="GI52" s="53"/>
      <c r="GJ52" s="53">
        <v>4</v>
      </c>
      <c r="GK52" s="53"/>
      <c r="GL52" s="53"/>
      <c r="GM52" s="53"/>
      <c r="GN52" s="53"/>
      <c r="GO52" s="93">
        <f t="shared" si="16"/>
        <v>4</v>
      </c>
      <c r="GP52" s="53"/>
      <c r="GQ52" s="53"/>
      <c r="GR52" s="53"/>
      <c r="GS52" s="53"/>
      <c r="GT52" s="53"/>
      <c r="GU52" s="53"/>
      <c r="GV52" s="53"/>
      <c r="GW52" s="53">
        <v>4</v>
      </c>
      <c r="GX52" s="53"/>
      <c r="GY52" s="53"/>
      <c r="GZ52" s="53"/>
      <c r="HA52" s="53"/>
      <c r="HB52" s="93">
        <f t="shared" si="107"/>
        <v>4</v>
      </c>
      <c r="HC52" s="49">
        <f t="shared" si="19"/>
        <v>56</v>
      </c>
      <c r="HD52" s="53"/>
      <c r="HE52" s="53"/>
      <c r="HF52" s="53"/>
      <c r="HG52" s="53"/>
      <c r="HH52" s="53"/>
      <c r="HI52" s="53"/>
      <c r="HJ52" s="53"/>
      <c r="HK52" s="53"/>
      <c r="HL52" s="53"/>
      <c r="HM52" s="53"/>
      <c r="HN52" s="53"/>
      <c r="HO52" s="93"/>
      <c r="HP52" s="53"/>
      <c r="HQ52" s="53"/>
      <c r="HR52" s="53"/>
      <c r="HS52" s="53"/>
      <c r="HT52" s="53"/>
      <c r="HU52" s="53"/>
      <c r="HV52" s="53"/>
      <c r="HW52" s="53"/>
      <c r="HX52" s="53"/>
      <c r="HY52" s="53"/>
      <c r="HZ52" s="53"/>
      <c r="IA52" s="53"/>
      <c r="IB52" s="93"/>
      <c r="IC52" s="53"/>
      <c r="ID52" s="53"/>
      <c r="IE52" s="53"/>
      <c r="IF52" s="53"/>
      <c r="IG52" s="53"/>
      <c r="IH52" s="53"/>
      <c r="II52" s="53"/>
      <c r="IJ52" s="53"/>
      <c r="IK52" s="53"/>
      <c r="IL52" s="53"/>
      <c r="IM52" s="53"/>
      <c r="IN52" s="53"/>
      <c r="IO52" s="93"/>
      <c r="IP52" s="53"/>
      <c r="IQ52" s="53"/>
      <c r="IR52" s="53"/>
      <c r="IS52" s="53"/>
      <c r="IT52" s="53"/>
      <c r="IU52" s="53"/>
      <c r="IV52" s="53"/>
    </row>
    <row r="53" spans="2:256" ht="14.25" outlineLevel="1">
      <c r="B53" s="98" t="s">
        <v>409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93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93"/>
      <c r="AC53" s="54"/>
      <c r="AD53" s="54"/>
      <c r="AE53" s="54"/>
      <c r="AF53" s="54"/>
      <c r="AG53" s="54"/>
      <c r="AH53" s="54"/>
      <c r="AI53" s="54"/>
      <c r="AJ53" s="53">
        <v>30</v>
      </c>
      <c r="AK53" s="54"/>
      <c r="AL53" s="54"/>
      <c r="AM53" s="54"/>
      <c r="AN53" s="54"/>
      <c r="AO53" s="93">
        <f t="shared" si="108"/>
        <v>30</v>
      </c>
      <c r="AP53" s="54"/>
      <c r="AQ53" s="54"/>
      <c r="AR53" s="54"/>
      <c r="AS53" s="54"/>
      <c r="AT53" s="54"/>
      <c r="AU53" s="54"/>
      <c r="AV53" s="54"/>
      <c r="AW53" s="53">
        <v>30</v>
      </c>
      <c r="AX53" s="54"/>
      <c r="AY53" s="54"/>
      <c r="AZ53" s="54"/>
      <c r="BA53" s="54"/>
      <c r="BB53" s="93">
        <f t="shared" si="2"/>
        <v>30</v>
      </c>
      <c r="BC53" s="54"/>
      <c r="BD53" s="54"/>
      <c r="BE53" s="54"/>
      <c r="BF53" s="54"/>
      <c r="BG53" s="54"/>
      <c r="BH53" s="54"/>
      <c r="BI53" s="54"/>
      <c r="BJ53" s="53">
        <v>30</v>
      </c>
      <c r="BK53" s="54"/>
      <c r="BL53" s="54"/>
      <c r="BM53" s="54"/>
      <c r="BN53" s="54"/>
      <c r="BO53" s="93">
        <f t="shared" si="4"/>
        <v>30</v>
      </c>
      <c r="BP53" s="54"/>
      <c r="BQ53" s="54"/>
      <c r="BR53" s="54"/>
      <c r="BS53" s="54"/>
      <c r="BT53" s="54"/>
      <c r="BU53" s="54"/>
      <c r="BV53" s="54"/>
      <c r="BW53" s="53">
        <v>30</v>
      </c>
      <c r="BX53" s="54"/>
      <c r="BY53" s="54"/>
      <c r="BZ53" s="54"/>
      <c r="CA53" s="54"/>
      <c r="CB53" s="93">
        <f t="shared" si="106"/>
        <v>30</v>
      </c>
      <c r="CC53" s="54"/>
      <c r="CD53" s="54"/>
      <c r="CE53" s="54"/>
      <c r="CF53" s="54"/>
      <c r="CG53" s="54"/>
      <c r="CH53" s="54"/>
      <c r="CI53" s="54"/>
      <c r="CJ53" s="53">
        <v>30</v>
      </c>
      <c r="CK53" s="54"/>
      <c r="CL53" s="54"/>
      <c r="CM53" s="54"/>
      <c r="CN53" s="54"/>
      <c r="CO53" s="93">
        <f t="shared" si="88"/>
        <v>30</v>
      </c>
      <c r="CP53" s="54"/>
      <c r="CQ53" s="54"/>
      <c r="CR53" s="54"/>
      <c r="CS53" s="54"/>
      <c r="CT53" s="54"/>
      <c r="CU53" s="54"/>
      <c r="CV53" s="54"/>
      <c r="CW53" s="53">
        <v>30</v>
      </c>
      <c r="CX53" s="54"/>
      <c r="CY53" s="54"/>
      <c r="CZ53" s="54"/>
      <c r="DA53" s="54"/>
      <c r="DB53" s="93">
        <f t="shared" si="80"/>
        <v>30</v>
      </c>
      <c r="DC53" s="54"/>
      <c r="DD53" s="54"/>
      <c r="DE53" s="54"/>
      <c r="DF53" s="54"/>
      <c r="DG53" s="54"/>
      <c r="DH53" s="54"/>
      <c r="DI53" s="54"/>
      <c r="DJ53" s="53">
        <v>30</v>
      </c>
      <c r="DK53" s="54"/>
      <c r="DL53" s="54"/>
      <c r="DM53" s="54"/>
      <c r="DN53" s="54"/>
      <c r="DO53" s="93">
        <f t="shared" si="81"/>
        <v>30</v>
      </c>
      <c r="DP53" s="54"/>
      <c r="DQ53" s="54"/>
      <c r="DR53" s="54"/>
      <c r="DS53" s="54"/>
      <c r="DT53" s="54"/>
      <c r="DU53" s="54"/>
      <c r="DV53" s="54"/>
      <c r="DW53" s="53">
        <v>30</v>
      </c>
      <c r="DX53" s="54"/>
      <c r="DY53" s="54"/>
      <c r="DZ53" s="54"/>
      <c r="EA53" s="54"/>
      <c r="EB53" s="93">
        <f t="shared" si="82"/>
        <v>30</v>
      </c>
      <c r="EC53" s="54"/>
      <c r="ED53" s="54"/>
      <c r="EE53" s="54"/>
      <c r="EF53" s="54"/>
      <c r="EG53" s="54"/>
      <c r="EH53" s="54"/>
      <c r="EI53" s="54"/>
      <c r="EJ53" s="53">
        <v>30</v>
      </c>
      <c r="EK53" s="54"/>
      <c r="EL53" s="54"/>
      <c r="EM53" s="54"/>
      <c r="EN53" s="54"/>
      <c r="EO53" s="93">
        <f t="shared" si="83"/>
        <v>30</v>
      </c>
      <c r="EP53" s="54"/>
      <c r="EQ53" s="54"/>
      <c r="ER53" s="54"/>
      <c r="ES53" s="54"/>
      <c r="ET53" s="54"/>
      <c r="EU53" s="54"/>
      <c r="EV53" s="54"/>
      <c r="EW53" s="53">
        <v>30</v>
      </c>
      <c r="EX53" s="54"/>
      <c r="EY53" s="54"/>
      <c r="EZ53" s="54"/>
      <c r="FA53" s="54"/>
      <c r="FB53" s="93">
        <f t="shared" si="84"/>
        <v>30</v>
      </c>
      <c r="FC53" s="54"/>
      <c r="FD53" s="54"/>
      <c r="FE53" s="54"/>
      <c r="FF53" s="54"/>
      <c r="FG53" s="54"/>
      <c r="FH53" s="54"/>
      <c r="FI53" s="54"/>
      <c r="FJ53" s="53">
        <v>30</v>
      </c>
      <c r="FK53" s="54"/>
      <c r="FL53" s="54"/>
      <c r="FM53" s="54"/>
      <c r="FN53" s="54"/>
      <c r="FO53" s="93">
        <f t="shared" si="85"/>
        <v>30</v>
      </c>
      <c r="FP53" s="54"/>
      <c r="FQ53" s="54"/>
      <c r="FR53" s="54"/>
      <c r="FS53" s="54"/>
      <c r="FT53" s="54"/>
      <c r="FU53" s="54"/>
      <c r="FV53" s="54"/>
      <c r="FW53" s="53">
        <v>30</v>
      </c>
      <c r="FX53" s="54"/>
      <c r="FY53" s="54"/>
      <c r="FZ53" s="54"/>
      <c r="GA53" s="54"/>
      <c r="GB53" s="93">
        <f t="shared" si="86"/>
        <v>30</v>
      </c>
      <c r="GC53" s="54"/>
      <c r="GD53" s="54"/>
      <c r="GE53" s="54"/>
      <c r="GF53" s="54"/>
      <c r="GG53" s="54"/>
      <c r="GH53" s="54"/>
      <c r="GI53" s="54"/>
      <c r="GJ53" s="53">
        <v>30</v>
      </c>
      <c r="GK53" s="54"/>
      <c r="GL53" s="54"/>
      <c r="GM53" s="54"/>
      <c r="GN53" s="54"/>
      <c r="GO53" s="93">
        <f t="shared" si="16"/>
        <v>30</v>
      </c>
      <c r="GP53" s="54"/>
      <c r="GQ53" s="54"/>
      <c r="GR53" s="54"/>
      <c r="GS53" s="54"/>
      <c r="GT53" s="54"/>
      <c r="GU53" s="54"/>
      <c r="GV53" s="54"/>
      <c r="GW53" s="53">
        <v>30</v>
      </c>
      <c r="GX53" s="54"/>
      <c r="GY53" s="54"/>
      <c r="GZ53" s="54"/>
      <c r="HA53" s="54"/>
      <c r="HB53" s="93">
        <f t="shared" si="107"/>
        <v>30</v>
      </c>
      <c r="HC53" s="49">
        <f t="shared" si="19"/>
        <v>420</v>
      </c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93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93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93"/>
      <c r="IP53" s="54"/>
      <c r="IQ53" s="54"/>
      <c r="IR53" s="54"/>
      <c r="IS53" s="54"/>
      <c r="IT53" s="54"/>
      <c r="IU53" s="54"/>
      <c r="IV53" s="54"/>
    </row>
    <row r="54" spans="2:256" ht="14.25" outlineLevel="3">
      <c r="B54" s="98" t="s">
        <v>410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9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9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93"/>
      <c r="AP54" s="53"/>
      <c r="AQ54" s="53"/>
      <c r="AR54" s="53"/>
      <c r="AS54" s="53">
        <f>AR117</f>
        <v>1401.022011753931</v>
      </c>
      <c r="AT54" s="53"/>
      <c r="AU54" s="53"/>
      <c r="AV54" s="53"/>
      <c r="AW54" s="53"/>
      <c r="AX54" s="53"/>
      <c r="AY54" s="53"/>
      <c r="AZ54" s="53"/>
      <c r="BA54" s="53"/>
      <c r="BB54" s="93">
        <f t="shared" si="2"/>
        <v>1401.022011753931</v>
      </c>
      <c r="BC54" s="53"/>
      <c r="BD54" s="53"/>
      <c r="BE54" s="53"/>
      <c r="BF54" s="53">
        <f>BE117</f>
        <v>5432.641418945135</v>
      </c>
      <c r="BG54" s="53"/>
      <c r="BH54" s="53"/>
      <c r="BI54" s="53"/>
      <c r="BJ54" s="53"/>
      <c r="BK54" s="53"/>
      <c r="BL54" s="53"/>
      <c r="BM54" s="53"/>
      <c r="BN54" s="53"/>
      <c r="BO54" s="93">
        <f t="shared" si="4"/>
        <v>5432.641418945135</v>
      </c>
      <c r="BP54" s="53"/>
      <c r="BQ54" s="53"/>
      <c r="BR54" s="53"/>
      <c r="BS54" s="53">
        <f>BR117</f>
        <v>7782.552371763723</v>
      </c>
      <c r="BT54" s="53"/>
      <c r="BU54" s="53"/>
      <c r="BV54" s="53"/>
      <c r="BW54" s="53"/>
      <c r="BX54" s="53"/>
      <c r="BY54" s="53"/>
      <c r="BZ54" s="53"/>
      <c r="CA54" s="53"/>
      <c r="CB54" s="93">
        <f t="shared" si="106"/>
        <v>7782.552371763723</v>
      </c>
      <c r="CC54" s="53"/>
      <c r="CD54" s="53"/>
      <c r="CE54" s="53"/>
      <c r="CF54" s="53">
        <f>CE117</f>
        <v>7969.734222800652</v>
      </c>
      <c r="CG54" s="53"/>
      <c r="CH54" s="53"/>
      <c r="CI54" s="53"/>
      <c r="CJ54" s="53"/>
      <c r="CK54" s="53"/>
      <c r="CL54" s="53"/>
      <c r="CM54" s="53"/>
      <c r="CN54" s="53"/>
      <c r="CO54" s="93">
        <f t="shared" si="88"/>
        <v>7969.734222800652</v>
      </c>
      <c r="CP54" s="53"/>
      <c r="CQ54" s="53"/>
      <c r="CR54" s="53"/>
      <c r="CS54" s="53">
        <f>CR117</f>
        <v>7693.391940726657</v>
      </c>
      <c r="CT54" s="53"/>
      <c r="CU54" s="53"/>
      <c r="CV54" s="53"/>
      <c r="CW54" s="53"/>
      <c r="CX54" s="53"/>
      <c r="CY54" s="53"/>
      <c r="CZ54" s="53"/>
      <c r="DA54" s="53"/>
      <c r="DB54" s="93">
        <f t="shared" si="80"/>
        <v>7693.391940726657</v>
      </c>
      <c r="DC54" s="53"/>
      <c r="DD54" s="53"/>
      <c r="DE54" s="53"/>
      <c r="DF54" s="53">
        <f>DE117</f>
        <v>7367.53881488537</v>
      </c>
      <c r="DG54" s="53"/>
      <c r="DH54" s="53"/>
      <c r="DI54" s="53"/>
      <c r="DJ54" s="53"/>
      <c r="DK54" s="53"/>
      <c r="DL54" s="53"/>
      <c r="DM54" s="53"/>
      <c r="DN54" s="53"/>
      <c r="DO54" s="93">
        <f t="shared" si="81"/>
        <v>7367.53881488537</v>
      </c>
      <c r="DP54" s="53"/>
      <c r="DQ54" s="53"/>
      <c r="DR54" s="53"/>
      <c r="DS54" s="53">
        <f>DR117</f>
        <v>7214.44650493357</v>
      </c>
      <c r="DT54" s="53"/>
      <c r="DU54" s="53"/>
      <c r="DV54" s="53"/>
      <c r="DW54" s="53"/>
      <c r="DX54" s="53"/>
      <c r="DY54" s="53"/>
      <c r="DZ54" s="53"/>
      <c r="EA54" s="53"/>
      <c r="EB54" s="93">
        <f t="shared" si="82"/>
        <v>7214.44650493357</v>
      </c>
      <c r="EC54" s="53"/>
      <c r="ED54" s="53"/>
      <c r="EE54" s="53"/>
      <c r="EF54" s="53">
        <f>EE117</f>
        <v>7037.5189457205925</v>
      </c>
      <c r="EG54" s="53"/>
      <c r="EH54" s="53"/>
      <c r="EI54" s="53"/>
      <c r="EJ54" s="53"/>
      <c r="EK54" s="53"/>
      <c r="EL54" s="53"/>
      <c r="EM54" s="53"/>
      <c r="EN54" s="53"/>
      <c r="EO54" s="93">
        <f t="shared" si="83"/>
        <v>7037.5189457205925</v>
      </c>
      <c r="EP54" s="53"/>
      <c r="EQ54" s="53"/>
      <c r="ER54" s="53"/>
      <c r="ES54" s="53">
        <f>ER117</f>
        <v>7150.439287986623</v>
      </c>
      <c r="ET54" s="53"/>
      <c r="EU54" s="53"/>
      <c r="EV54" s="53"/>
      <c r="EW54" s="53"/>
      <c r="EX54" s="53"/>
      <c r="EY54" s="53"/>
      <c r="EZ54" s="53"/>
      <c r="FA54" s="53"/>
      <c r="FB54" s="93">
        <f t="shared" si="84"/>
        <v>7150.439287986623</v>
      </c>
      <c r="FC54" s="53"/>
      <c r="FD54" s="53"/>
      <c r="FE54" s="53"/>
      <c r="FF54" s="53">
        <f>FE117</f>
        <v>6361.500576740102</v>
      </c>
      <c r="FG54" s="53"/>
      <c r="FH54" s="53"/>
      <c r="FI54" s="53"/>
      <c r="FJ54" s="53"/>
      <c r="FK54" s="53"/>
      <c r="FL54" s="53"/>
      <c r="FM54" s="53"/>
      <c r="FN54" s="53"/>
      <c r="FO54" s="93">
        <f t="shared" si="85"/>
        <v>6361.500576740102</v>
      </c>
      <c r="FP54" s="53"/>
      <c r="FQ54" s="53"/>
      <c r="FR54" s="53"/>
      <c r="FS54" s="53">
        <f>FR117</f>
        <v>6456.403234109739</v>
      </c>
      <c r="FT54" s="53"/>
      <c r="FU54" s="53"/>
      <c r="FV54" s="53"/>
      <c r="FW54" s="53"/>
      <c r="FX54" s="53"/>
      <c r="FY54" s="53"/>
      <c r="FZ54" s="53"/>
      <c r="GA54" s="53"/>
      <c r="GB54" s="93">
        <f t="shared" si="86"/>
        <v>6456.403234109739</v>
      </c>
      <c r="GC54" s="54"/>
      <c r="GD54" s="53"/>
      <c r="GE54" s="53"/>
      <c r="GF54" s="53">
        <f>GE117</f>
        <v>7060.551991854103</v>
      </c>
      <c r="GG54" s="53"/>
      <c r="GH54" s="53"/>
      <c r="GI54" s="53">
        <f>GH117-GE117</f>
        <v>488.54140700278094</v>
      </c>
      <c r="GJ54" s="53"/>
      <c r="GK54" s="53"/>
      <c r="GL54" s="53"/>
      <c r="GM54" s="53"/>
      <c r="GN54" s="53"/>
      <c r="GO54" s="93">
        <f t="shared" si="16"/>
        <v>7549.093398856884</v>
      </c>
      <c r="GP54" s="54"/>
      <c r="GQ54" s="53"/>
      <c r="GR54" s="53"/>
      <c r="GS54" s="53">
        <f>GR117</f>
        <v>7340.770893122876</v>
      </c>
      <c r="GT54" s="53"/>
      <c r="GU54" s="53"/>
      <c r="GV54" s="53">
        <f>GU117-GR117</f>
        <v>474.7468524480255</v>
      </c>
      <c r="GW54" s="53"/>
      <c r="GX54" s="53"/>
      <c r="GY54" s="53"/>
      <c r="GZ54" s="53"/>
      <c r="HA54" s="53"/>
      <c r="HB54" s="93">
        <f t="shared" si="107"/>
        <v>7815.517745570902</v>
      </c>
      <c r="HC54" s="49">
        <f t="shared" si="19"/>
        <v>87231.80047479387</v>
      </c>
      <c r="HD54" s="53"/>
      <c r="HE54" s="53"/>
      <c r="HF54" s="53"/>
      <c r="HG54" s="53"/>
      <c r="HH54" s="53"/>
      <c r="HI54" s="53"/>
      <c r="HJ54" s="53"/>
      <c r="HK54" s="53"/>
      <c r="HL54" s="53"/>
      <c r="HM54" s="53"/>
      <c r="HN54" s="53"/>
      <c r="HO54" s="93"/>
      <c r="HP54" s="53"/>
      <c r="HQ54" s="53"/>
      <c r="HR54" s="53"/>
      <c r="HS54" s="53"/>
      <c r="HT54" s="53"/>
      <c r="HU54" s="53"/>
      <c r="HV54" s="53"/>
      <c r="HW54" s="53"/>
      <c r="HX54" s="53"/>
      <c r="HY54" s="53"/>
      <c r="HZ54" s="53"/>
      <c r="IA54" s="53"/>
      <c r="IB54" s="93"/>
      <c r="IC54" s="53"/>
      <c r="ID54" s="53"/>
      <c r="IE54" s="53"/>
      <c r="IF54" s="53"/>
      <c r="IG54" s="53"/>
      <c r="IH54" s="53"/>
      <c r="II54" s="53"/>
      <c r="IJ54" s="53"/>
      <c r="IK54" s="53"/>
      <c r="IL54" s="53"/>
      <c r="IM54" s="53"/>
      <c r="IN54" s="53"/>
      <c r="IO54" s="93"/>
      <c r="IP54" s="53"/>
      <c r="IQ54" s="53"/>
      <c r="IR54" s="53"/>
      <c r="IS54" s="53"/>
      <c r="IT54" s="53"/>
      <c r="IU54" s="53"/>
      <c r="IV54" s="53"/>
    </row>
    <row r="55" spans="1:256" s="51" customFormat="1" ht="14.25">
      <c r="A55" s="48"/>
      <c r="B55" s="96" t="s">
        <v>411</v>
      </c>
      <c r="C55" s="49"/>
      <c r="D55" s="49"/>
      <c r="E55" s="49"/>
      <c r="F55" s="49"/>
      <c r="G55" s="49"/>
      <c r="H55" s="49"/>
      <c r="I55" s="49"/>
      <c r="J55" s="49"/>
      <c r="K55" s="49">
        <f>K9-K11</f>
        <v>-536.2900013200001</v>
      </c>
      <c r="L55" s="49">
        <f>L9-L11</f>
        <v>-486.29000132000004</v>
      </c>
      <c r="M55" s="49">
        <f>M9-M11</f>
        <v>-483.2083169</v>
      </c>
      <c r="N55" s="49">
        <f>N9-N11</f>
        <v>-468.56437638</v>
      </c>
      <c r="O55" s="93">
        <f>N55+M55+L55+K55</f>
        <v>-1974.35269592</v>
      </c>
      <c r="P55" s="49">
        <f aca="true" t="shared" si="109" ref="P55:AA55">P9-P11</f>
        <v>-486.29000132000004</v>
      </c>
      <c r="Q55" s="49">
        <f t="shared" si="109"/>
        <v>-486.29000132000004</v>
      </c>
      <c r="R55" s="49">
        <f t="shared" si="109"/>
        <v>-483.2083169</v>
      </c>
      <c r="S55" s="49">
        <f t="shared" si="109"/>
        <v>-468.56437638</v>
      </c>
      <c r="T55" s="49">
        <f t="shared" si="109"/>
        <v>-435.71617398000006</v>
      </c>
      <c r="U55" s="49">
        <f t="shared" si="109"/>
        <v>-435.71617398000006</v>
      </c>
      <c r="V55" s="49">
        <f t="shared" si="109"/>
        <v>-435.71617398000006</v>
      </c>
      <c r="W55" s="49">
        <f t="shared" si="109"/>
        <v>-441.05017398000007</v>
      </c>
      <c r="X55" s="49">
        <f t="shared" si="109"/>
        <v>-1263.2208251000002</v>
      </c>
      <c r="Y55" s="49">
        <f t="shared" si="109"/>
        <v>-1222.71089787</v>
      </c>
      <c r="Z55" s="49">
        <f t="shared" si="109"/>
        <v>-1213.2208251000002</v>
      </c>
      <c r="AA55" s="49">
        <f t="shared" si="109"/>
        <v>-1213.2208251000002</v>
      </c>
      <c r="AB55" s="93">
        <f>AA55+Z55+Y55+X55+W55+V55+U55+T55+S55+R55+Q55+P55</f>
        <v>-8584.92476501</v>
      </c>
      <c r="AC55" s="49">
        <f aca="true" t="shared" si="110" ref="AC55:GN55">AC9-AC11</f>
        <v>-1272.7690388223077</v>
      </c>
      <c r="AD55" s="49">
        <f t="shared" si="110"/>
        <v>-1263.79465244</v>
      </c>
      <c r="AE55" s="49">
        <f t="shared" si="110"/>
        <v>-1260.71296802</v>
      </c>
      <c r="AF55" s="49">
        <f t="shared" si="110"/>
        <v>-1286.431147745</v>
      </c>
      <c r="AG55" s="49">
        <f t="shared" si="110"/>
        <v>-1213.2208251000002</v>
      </c>
      <c r="AH55" s="49">
        <f t="shared" si="110"/>
        <v>-1213.2208251000002</v>
      </c>
      <c r="AI55" s="49">
        <f t="shared" si="110"/>
        <v>-1243.0019898571431</v>
      </c>
      <c r="AJ55" s="49">
        <f t="shared" si="110"/>
        <v>-1341.69576142</v>
      </c>
      <c r="AK55" s="49">
        <f t="shared" si="110"/>
        <v>-5316.762480312</v>
      </c>
      <c r="AL55" s="49">
        <f t="shared" si="110"/>
        <v>-3380.715247092002</v>
      </c>
      <c r="AM55" s="49">
        <f t="shared" si="110"/>
        <v>-174.26846852000017</v>
      </c>
      <c r="AN55" s="49">
        <f t="shared" si="110"/>
        <v>340.56238329999906</v>
      </c>
      <c r="AO55" s="93">
        <f>AN55+AM55+AL55+AK55+AJ55+AI55+AH55+AG55+AF55+AE55+AD55+AC55</f>
        <v>-18626.031021128456</v>
      </c>
      <c r="AP55" s="49">
        <f t="shared" si="110"/>
        <v>3730.1387616216543</v>
      </c>
      <c r="AQ55" s="49">
        <f t="shared" si="110"/>
        <v>5877.568040382668</v>
      </c>
      <c r="AR55" s="49">
        <f t="shared" si="110"/>
        <v>5286.991607332</v>
      </c>
      <c r="AS55" s="49">
        <f t="shared" si="110"/>
        <v>-2931.926851548267</v>
      </c>
      <c r="AT55" s="49">
        <f t="shared" si="110"/>
        <v>5019.760881985001</v>
      </c>
      <c r="AU55" s="49">
        <f t="shared" si="110"/>
        <v>-943.1758346093338</v>
      </c>
      <c r="AV55" s="49">
        <f t="shared" si="110"/>
        <v>-4950.223308482</v>
      </c>
      <c r="AW55" s="49">
        <f t="shared" si="110"/>
        <v>-2411.5762676640006</v>
      </c>
      <c r="AX55" s="49">
        <f t="shared" si="110"/>
        <v>-6635.584376412</v>
      </c>
      <c r="AY55" s="49">
        <f t="shared" si="110"/>
        <v>-8044.270907849999</v>
      </c>
      <c r="AZ55" s="49">
        <f t="shared" si="110"/>
        <v>-675.3536155239999</v>
      </c>
      <c r="BA55" s="49">
        <f t="shared" si="110"/>
        <v>3274.300562968667</v>
      </c>
      <c r="BB55" s="93">
        <f>BA55+AZ55+AY55+AX55+AW55+AV55+AU55+AT55+AS55+AR55+AQ55+AP55</f>
        <v>-3403.351307799612</v>
      </c>
      <c r="BC55" s="49">
        <f t="shared" si="110"/>
        <v>14980.357277529998</v>
      </c>
      <c r="BD55" s="49">
        <f t="shared" si="110"/>
        <v>12331.323153696663</v>
      </c>
      <c r="BE55" s="49">
        <f t="shared" si="110"/>
        <v>9467.232860421329</v>
      </c>
      <c r="BF55" s="49">
        <f t="shared" si="110"/>
        <v>-6729.577848338136</v>
      </c>
      <c r="BG55" s="49">
        <f t="shared" si="110"/>
        <v>12347.429031258333</v>
      </c>
      <c r="BH55" s="49">
        <f t="shared" si="110"/>
        <v>-772.2757044440004</v>
      </c>
      <c r="BI55" s="49">
        <f t="shared" si="110"/>
        <v>-7868.763287436381</v>
      </c>
      <c r="BJ55" s="49">
        <f t="shared" si="110"/>
        <v>-3283.5082360400006</v>
      </c>
      <c r="BK55" s="49">
        <f t="shared" si="110"/>
        <v>-2420.4927938680016</v>
      </c>
      <c r="BL55" s="49">
        <f t="shared" si="110"/>
        <v>-10796.0382924305</v>
      </c>
      <c r="BM55" s="49">
        <f t="shared" si="110"/>
        <v>-663.7108621799998</v>
      </c>
      <c r="BN55" s="49">
        <f t="shared" si="110"/>
        <v>3293.4247330516664</v>
      </c>
      <c r="BO55" s="93">
        <f>BN55+BM55+BL55+BK55+BJ55+BI55+BH55+BG55+BF55+BE55+BD55+BC55</f>
        <v>19885.400031220972</v>
      </c>
      <c r="BP55" s="49">
        <f t="shared" si="110"/>
        <v>14980.357305863332</v>
      </c>
      <c r="BQ55" s="49">
        <f t="shared" si="110"/>
        <v>12331.323153696663</v>
      </c>
      <c r="BR55" s="49">
        <f t="shared" si="110"/>
        <v>8879.40660133533</v>
      </c>
      <c r="BS55" s="49">
        <f t="shared" si="110"/>
        <v>-8280.861658226728</v>
      </c>
      <c r="BT55" s="49">
        <f t="shared" si="110"/>
        <v>12347.429031258333</v>
      </c>
      <c r="BU55" s="49">
        <f t="shared" si="110"/>
        <v>-210.5547123080014</v>
      </c>
      <c r="BV55" s="49">
        <f t="shared" si="110"/>
        <v>-7250.83192960067</v>
      </c>
      <c r="BW55" s="49">
        <f t="shared" si="110"/>
        <v>-3734.8643994260005</v>
      </c>
      <c r="BX55" s="49">
        <f t="shared" si="110"/>
        <v>-1920.9082382319998</v>
      </c>
      <c r="BY55" s="49">
        <f t="shared" si="110"/>
        <v>-10115.993334786503</v>
      </c>
      <c r="BZ55" s="49">
        <f t="shared" si="110"/>
        <v>-663.7108621799998</v>
      </c>
      <c r="CA55" s="49">
        <f t="shared" si="110"/>
        <v>3293.4247330516664</v>
      </c>
      <c r="CB55" s="93">
        <f t="shared" si="106"/>
        <v>19654.215690445424</v>
      </c>
      <c r="CC55" s="49">
        <f t="shared" si="110"/>
        <v>14980.357305863332</v>
      </c>
      <c r="CD55" s="49">
        <f t="shared" si="110"/>
        <v>12331.323153696663</v>
      </c>
      <c r="CE55" s="49">
        <f t="shared" si="110"/>
        <v>8879.40660133533</v>
      </c>
      <c r="CF55" s="49">
        <f t="shared" si="110"/>
        <v>-7771.872611643652</v>
      </c>
      <c r="CG55" s="49">
        <f t="shared" si="110"/>
        <v>12347.429031258333</v>
      </c>
      <c r="CH55" s="49">
        <f t="shared" si="110"/>
        <v>-210.5547123080014</v>
      </c>
      <c r="CI55" s="49">
        <f t="shared" si="110"/>
        <v>-6554.661032546381</v>
      </c>
      <c r="CJ55" s="49">
        <f t="shared" si="110"/>
        <v>-3734.8643994260005</v>
      </c>
      <c r="CK55" s="49">
        <f t="shared" si="110"/>
        <v>-2420.4927938680016</v>
      </c>
      <c r="CL55" s="49">
        <f t="shared" si="110"/>
        <v>-8884.997315672501</v>
      </c>
      <c r="CM55" s="49">
        <f t="shared" si="110"/>
        <v>-663.7108621799998</v>
      </c>
      <c r="CN55" s="49">
        <f t="shared" si="110"/>
        <v>3293.4247330516664</v>
      </c>
      <c r="CO55" s="93">
        <f t="shared" si="88"/>
        <v>21590.787097560788</v>
      </c>
      <c r="CP55" s="49">
        <f t="shared" si="110"/>
        <v>14980.357305863332</v>
      </c>
      <c r="CQ55" s="49">
        <f t="shared" si="110"/>
        <v>12331.323153696663</v>
      </c>
      <c r="CR55" s="49">
        <f t="shared" si="110"/>
        <v>8879.40660133533</v>
      </c>
      <c r="CS55" s="49">
        <f t="shared" si="110"/>
        <v>-6838.379374669661</v>
      </c>
      <c r="CT55" s="49">
        <f t="shared" si="110"/>
        <v>12347.429031258333</v>
      </c>
      <c r="CU55" s="49">
        <f t="shared" si="110"/>
        <v>-772.2757044440004</v>
      </c>
      <c r="CV55" s="49">
        <f t="shared" si="110"/>
        <v>-5282.019607246097</v>
      </c>
      <c r="CW55" s="49">
        <f t="shared" si="110"/>
        <v>-3817.5286275760004</v>
      </c>
      <c r="CX55" s="49">
        <f t="shared" si="110"/>
        <v>-2420.4927938680016</v>
      </c>
      <c r="CY55" s="49">
        <f t="shared" si="110"/>
        <v>-8799.454109833001</v>
      </c>
      <c r="CZ55" s="49">
        <f t="shared" si="110"/>
        <v>1.1593104525018134</v>
      </c>
      <c r="DA55" s="49">
        <f t="shared" si="110"/>
        <v>3187.373520076668</v>
      </c>
      <c r="DB55" s="93">
        <f t="shared" si="80"/>
        <v>23796.898705046064</v>
      </c>
      <c r="DC55" s="49">
        <f t="shared" si="110"/>
        <v>14980.357305863332</v>
      </c>
      <c r="DD55" s="49">
        <f t="shared" si="110"/>
        <v>12331.323153696663</v>
      </c>
      <c r="DE55" s="49">
        <f t="shared" si="110"/>
        <v>8879.40660133533</v>
      </c>
      <c r="DF55" s="49">
        <f t="shared" si="110"/>
        <v>-6052.031994278375</v>
      </c>
      <c r="DG55" s="49">
        <f t="shared" si="110"/>
        <v>12347.429031258333</v>
      </c>
      <c r="DH55" s="49">
        <f t="shared" si="110"/>
        <v>-772.2757044440004</v>
      </c>
      <c r="DI55" s="49">
        <f t="shared" si="110"/>
        <v>-4821.525211314667</v>
      </c>
      <c r="DJ55" s="49">
        <f t="shared" si="110"/>
        <v>-3817.5286275760004</v>
      </c>
      <c r="DK55" s="49">
        <f t="shared" si="110"/>
        <v>-2420.4927938680016</v>
      </c>
      <c r="DL55" s="49">
        <f t="shared" si="110"/>
        <v>-8156.140855168085</v>
      </c>
      <c r="DM55" s="49">
        <f t="shared" si="110"/>
        <v>-663.7108621799998</v>
      </c>
      <c r="DN55" s="49">
        <f t="shared" si="110"/>
        <v>3293.6366441716673</v>
      </c>
      <c r="DO55" s="93">
        <f>DN55+DM55+DL55+DK55+DJ55+DI55+DH55+DG55+DF55+DE55+DD55+DC55</f>
        <v>25128.446687496194</v>
      </c>
      <c r="DP55" s="49">
        <f t="shared" si="110"/>
        <v>14980.357305863332</v>
      </c>
      <c r="DQ55" s="49">
        <f t="shared" si="110"/>
        <v>12331.323153696663</v>
      </c>
      <c r="DR55" s="49">
        <f t="shared" si="110"/>
        <v>9467.232860421329</v>
      </c>
      <c r="DS55" s="49">
        <f t="shared" si="110"/>
        <v>-5406.340217341574</v>
      </c>
      <c r="DT55" s="49">
        <f t="shared" si="110"/>
        <v>12347.429031258333</v>
      </c>
      <c r="DU55" s="49">
        <f t="shared" si="110"/>
        <v>-772.2757044440004</v>
      </c>
      <c r="DV55" s="49">
        <f t="shared" si="110"/>
        <v>-4760.577713253526</v>
      </c>
      <c r="DW55" s="49">
        <f t="shared" si="110"/>
        <v>-3283.5082360400006</v>
      </c>
      <c r="DX55" s="49">
        <f t="shared" si="110"/>
        <v>-2420.4927938680016</v>
      </c>
      <c r="DY55" s="49">
        <f t="shared" si="110"/>
        <v>-7703.355575412499</v>
      </c>
      <c r="DZ55" s="49">
        <f t="shared" si="110"/>
        <v>-663.7108621799998</v>
      </c>
      <c r="EA55" s="49">
        <f t="shared" si="110"/>
        <v>3293.4247330516664</v>
      </c>
      <c r="EB55" s="93">
        <f>EA55+DZ55+DY55+DX55+DW55+DV55+DU55+DT55+DS55+DR55+DQ55+DP55</f>
        <v>27409.50598175172</v>
      </c>
      <c r="EC55" s="49">
        <f t="shared" si="110"/>
        <v>14980.357305863332</v>
      </c>
      <c r="ED55" s="49">
        <f t="shared" si="110"/>
        <v>12331.323153696663</v>
      </c>
      <c r="EE55" s="49">
        <f t="shared" si="110"/>
        <v>9467.232860421329</v>
      </c>
      <c r="EF55" s="49">
        <f t="shared" si="110"/>
        <v>-4530.974727718596</v>
      </c>
      <c r="EG55" s="49">
        <f t="shared" si="110"/>
        <v>12347.429031258333</v>
      </c>
      <c r="EH55" s="49">
        <f t="shared" si="110"/>
        <v>-772.2757044440004</v>
      </c>
      <c r="EI55" s="49">
        <f t="shared" si="110"/>
        <v>-4066.33880842781</v>
      </c>
      <c r="EJ55" s="49">
        <f t="shared" si="110"/>
        <v>-3734.8643994260005</v>
      </c>
      <c r="EK55" s="49">
        <f t="shared" si="110"/>
        <v>-1920.9082382319998</v>
      </c>
      <c r="EL55" s="49">
        <f t="shared" si="110"/>
        <v>-7013.3157809685</v>
      </c>
      <c r="EM55" s="49">
        <f t="shared" si="110"/>
        <v>-663.7108621799998</v>
      </c>
      <c r="EN55" s="49">
        <f t="shared" si="110"/>
        <v>3293.4247330516664</v>
      </c>
      <c r="EO55" s="93">
        <f>EN55+EM55+EL55+EK55+EJ55+EI55+EH55+EG55+EF55+EE55+ED55+EC55</f>
        <v>29717.378562894417</v>
      </c>
      <c r="EP55" s="49">
        <f t="shared" si="110"/>
        <v>14980.357305863332</v>
      </c>
      <c r="EQ55" s="49">
        <f t="shared" si="110"/>
        <v>12331.323153696663</v>
      </c>
      <c r="ER55" s="49">
        <f t="shared" si="110"/>
        <v>8879.40660133533</v>
      </c>
      <c r="ES55" s="49">
        <f t="shared" si="110"/>
        <v>-3876.555549409626</v>
      </c>
      <c r="ET55" s="49">
        <f t="shared" si="110"/>
        <v>12347.429031258333</v>
      </c>
      <c r="EU55" s="49">
        <f t="shared" si="110"/>
        <v>-210.5547123080014</v>
      </c>
      <c r="EV55" s="49">
        <f t="shared" si="110"/>
        <v>-3482.069610552096</v>
      </c>
      <c r="EW55" s="49">
        <f t="shared" si="110"/>
        <v>-3734.8643994260005</v>
      </c>
      <c r="EX55" s="49">
        <f t="shared" si="110"/>
        <v>-1973.0353370320004</v>
      </c>
      <c r="EY55" s="49">
        <f t="shared" si="110"/>
        <v>-6484.4053625325</v>
      </c>
      <c r="EZ55" s="49">
        <f t="shared" si="110"/>
        <v>-842.4323437800012</v>
      </c>
      <c r="FA55" s="49">
        <f t="shared" si="110"/>
        <v>3070.0228810516637</v>
      </c>
      <c r="FB55" s="93">
        <f>FA55+EZ55+EY55+EX55+EW55+EV55+EU55+ET55+ES55+ER55+EQ55+EP55</f>
        <v>31004.621658165095</v>
      </c>
      <c r="FC55" s="49">
        <f t="shared" si="110"/>
        <v>14980.357305863332</v>
      </c>
      <c r="FD55" s="49">
        <f t="shared" si="110"/>
        <v>12331.323153696663</v>
      </c>
      <c r="FE55" s="49">
        <f t="shared" si="110"/>
        <v>8879.40660133533</v>
      </c>
      <c r="FF55" s="49">
        <f t="shared" si="110"/>
        <v>-2457.9118592381055</v>
      </c>
      <c r="FG55" s="49">
        <f t="shared" si="110"/>
        <v>12347.429031258333</v>
      </c>
      <c r="FH55" s="49">
        <f t="shared" si="110"/>
        <v>-210.5547123080014</v>
      </c>
      <c r="FI55" s="49">
        <f t="shared" si="110"/>
        <v>-2850.5062406578104</v>
      </c>
      <c r="FJ55" s="49">
        <f t="shared" si="110"/>
        <v>-3734.8643994260005</v>
      </c>
      <c r="FK55" s="49">
        <f t="shared" si="110"/>
        <v>-2420.4927938680016</v>
      </c>
      <c r="FL55" s="49">
        <f t="shared" si="110"/>
        <v>-5223.480648820501</v>
      </c>
      <c r="FM55" s="49">
        <f t="shared" si="110"/>
        <v>-663.7108621799998</v>
      </c>
      <c r="FN55" s="49">
        <f t="shared" si="110"/>
        <v>3293.4247330516664</v>
      </c>
      <c r="FO55" s="93">
        <f>FN55+FM55+FL55+FK55+FJ55+FI55+FH55+FG55+FF55+FE55+FD55+FC55</f>
        <v>34270.41930870691</v>
      </c>
      <c r="FP55" s="49">
        <f t="shared" si="110"/>
        <v>14974.675305863331</v>
      </c>
      <c r="FQ55" s="49">
        <f t="shared" si="110"/>
        <v>12331.323153696663</v>
      </c>
      <c r="FR55" s="49">
        <f t="shared" si="110"/>
        <v>8879.40660133533</v>
      </c>
      <c r="FS55" s="49">
        <f t="shared" si="110"/>
        <v>-2208.4299306777393</v>
      </c>
      <c r="FT55" s="49">
        <f t="shared" si="110"/>
        <v>12347.429031258333</v>
      </c>
      <c r="FU55" s="49">
        <f t="shared" si="110"/>
        <v>-772.2757044440004</v>
      </c>
      <c r="FV55" s="49">
        <f t="shared" si="110"/>
        <v>-1923.4388566975244</v>
      </c>
      <c r="FW55" s="49">
        <f t="shared" si="110"/>
        <v>-3817.5286275760004</v>
      </c>
      <c r="FX55" s="49">
        <f t="shared" si="110"/>
        <v>-2420.4927938680016</v>
      </c>
      <c r="FY55" s="49">
        <f t="shared" si="110"/>
        <v>-5452.290479010999</v>
      </c>
      <c r="FZ55" s="49">
        <f t="shared" si="110"/>
        <v>1.1593104525018134</v>
      </c>
      <c r="GA55" s="49">
        <f t="shared" si="110"/>
        <v>3187.373520076668</v>
      </c>
      <c r="GB55" s="93">
        <f>GA55+FZ55+FY55+FX55+FW55+FV55+FU55+FT55+FS55+FR55+FQ55+FP55</f>
        <v>35126.91053040856</v>
      </c>
      <c r="GC55" s="49">
        <f t="shared" si="110"/>
        <v>14980.357305863332</v>
      </c>
      <c r="GD55" s="49">
        <f t="shared" si="110"/>
        <v>12331.323153696663</v>
      </c>
      <c r="GE55" s="49">
        <f t="shared" si="110"/>
        <v>8879.40660133533</v>
      </c>
      <c r="GF55" s="49">
        <f t="shared" si="110"/>
        <v>-2617.6798168921086</v>
      </c>
      <c r="GG55" s="49">
        <f t="shared" si="110"/>
        <v>12347.429031258333</v>
      </c>
      <c r="GH55" s="49">
        <f t="shared" si="110"/>
        <v>-772.2757044440004</v>
      </c>
      <c r="GI55" s="49">
        <f t="shared" si="110"/>
        <v>-2778.7650192220203</v>
      </c>
      <c r="GJ55" s="49">
        <f t="shared" si="110"/>
        <v>-3283.5082360400006</v>
      </c>
      <c r="GK55" s="49">
        <f t="shared" si="110"/>
        <v>-2420.4927938680016</v>
      </c>
      <c r="GL55" s="49">
        <f t="shared" si="110"/>
        <v>-5303.978426221</v>
      </c>
      <c r="GM55" s="49">
        <f t="shared" si="110"/>
        <v>-663.7108621799998</v>
      </c>
      <c r="GN55" s="49">
        <f t="shared" si="110"/>
        <v>3293.6366441716673</v>
      </c>
      <c r="GO55" s="93">
        <f t="shared" si="16"/>
        <v>33991.7418774582</v>
      </c>
      <c r="GP55" s="49">
        <f aca="true" t="shared" si="111" ref="GP55:HA55">GP9-GP11</f>
        <v>14980.357305863332</v>
      </c>
      <c r="GQ55" s="49">
        <f t="shared" si="111"/>
        <v>12331.323153696663</v>
      </c>
      <c r="GR55" s="49">
        <f t="shared" si="111"/>
        <v>9467.232860421329</v>
      </c>
      <c r="GS55" s="49">
        <f t="shared" si="111"/>
        <v>-2855.5715196658784</v>
      </c>
      <c r="GT55" s="49">
        <f t="shared" si="111"/>
        <v>12347.429031258333</v>
      </c>
      <c r="GU55" s="49">
        <f t="shared" si="111"/>
        <v>-772.2757044440004</v>
      </c>
      <c r="GV55" s="49">
        <f t="shared" si="111"/>
        <v>-2631.3357155386934</v>
      </c>
      <c r="GW55" s="49">
        <f t="shared" si="111"/>
        <v>-3283.5082360400006</v>
      </c>
      <c r="GX55" s="49">
        <f t="shared" si="111"/>
        <v>-2420.4927938680016</v>
      </c>
      <c r="GY55" s="49">
        <f t="shared" si="111"/>
        <v>-5172.201804057</v>
      </c>
      <c r="GZ55" s="49">
        <f t="shared" si="111"/>
        <v>-663.7108621799998</v>
      </c>
      <c r="HA55" s="49">
        <f t="shared" si="111"/>
        <v>3293.6366441716673</v>
      </c>
      <c r="HB55" s="93">
        <f t="shared" si="107"/>
        <v>34620.88235961775</v>
      </c>
      <c r="HC55" s="49">
        <f t="shared" si="19"/>
        <v>303608.54870091396</v>
      </c>
      <c r="HD55" s="49"/>
      <c r="HE55" s="49"/>
      <c r="HF55" s="49"/>
      <c r="HG55" s="49"/>
      <c r="HH55" s="49"/>
      <c r="HI55" s="49"/>
      <c r="HJ55" s="49"/>
      <c r="HK55" s="49"/>
      <c r="HL55" s="49"/>
      <c r="HM55" s="49"/>
      <c r="HN55" s="49"/>
      <c r="HO55" s="93"/>
      <c r="HP55" s="49"/>
      <c r="HQ55" s="49"/>
      <c r="HR55" s="49"/>
      <c r="HS55" s="49"/>
      <c r="HT55" s="49"/>
      <c r="HU55" s="49"/>
      <c r="HV55" s="49"/>
      <c r="HW55" s="49"/>
      <c r="HX55" s="49"/>
      <c r="HY55" s="49"/>
      <c r="HZ55" s="49"/>
      <c r="IA55" s="49"/>
      <c r="IB55" s="93"/>
      <c r="IC55" s="49"/>
      <c r="ID55" s="49"/>
      <c r="IE55" s="49"/>
      <c r="IF55" s="49"/>
      <c r="IG55" s="49"/>
      <c r="IH55" s="49"/>
      <c r="II55" s="49"/>
      <c r="IJ55" s="49"/>
      <c r="IK55" s="49"/>
      <c r="IL55" s="49"/>
      <c r="IM55" s="49"/>
      <c r="IN55" s="49"/>
      <c r="IO55" s="93"/>
      <c r="IP55" s="49"/>
      <c r="IQ55" s="49"/>
      <c r="IR55" s="49"/>
      <c r="IS55" s="49"/>
      <c r="IT55" s="49"/>
      <c r="IU55" s="49"/>
      <c r="IV55" s="49"/>
    </row>
    <row r="56" spans="2:256" ht="14.25">
      <c r="B56" s="92" t="s">
        <v>412</v>
      </c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93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93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93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93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93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93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93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93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93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93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93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93"/>
      <c r="FC56" s="57"/>
      <c r="FD56" s="57"/>
      <c r="FE56" s="57"/>
      <c r="FF56" s="57"/>
      <c r="FG56" s="57"/>
      <c r="FH56" s="57"/>
      <c r="FI56" s="57"/>
      <c r="FJ56" s="57"/>
      <c r="FK56" s="57"/>
      <c r="FL56" s="57"/>
      <c r="FM56" s="57"/>
      <c r="FN56" s="57"/>
      <c r="FO56" s="93"/>
      <c r="FP56" s="57"/>
      <c r="FQ56" s="57"/>
      <c r="FR56" s="57"/>
      <c r="FS56" s="57"/>
      <c r="FT56" s="57"/>
      <c r="FU56" s="57"/>
      <c r="FV56" s="57"/>
      <c r="FW56" s="57"/>
      <c r="FX56" s="57"/>
      <c r="FY56" s="57"/>
      <c r="FZ56" s="57"/>
      <c r="GA56" s="57"/>
      <c r="GB56" s="93"/>
      <c r="GC56" s="50"/>
      <c r="GD56" s="57"/>
      <c r="GE56" s="57"/>
      <c r="GF56" s="57"/>
      <c r="GG56" s="57"/>
      <c r="GH56" s="57"/>
      <c r="GI56" s="57"/>
      <c r="GJ56" s="57"/>
      <c r="GK56" s="57"/>
      <c r="GL56" s="57"/>
      <c r="GM56" s="57"/>
      <c r="GN56" s="57"/>
      <c r="GO56" s="93"/>
      <c r="GP56" s="57"/>
      <c r="GQ56" s="57"/>
      <c r="GR56" s="57"/>
      <c r="GS56" s="57"/>
      <c r="GT56" s="57"/>
      <c r="GU56" s="57"/>
      <c r="GV56" s="57"/>
      <c r="GW56" s="57"/>
      <c r="GX56" s="57"/>
      <c r="GY56" s="57"/>
      <c r="GZ56" s="57"/>
      <c r="HA56" s="57"/>
      <c r="HB56" s="93"/>
      <c r="HC56" s="57"/>
      <c r="HD56" s="57"/>
      <c r="HE56" s="57"/>
      <c r="HF56" s="57"/>
      <c r="HG56" s="57"/>
      <c r="HH56" s="57"/>
      <c r="HI56" s="57"/>
      <c r="HJ56" s="57"/>
      <c r="HK56" s="57"/>
      <c r="HL56" s="57"/>
      <c r="HM56" s="57"/>
      <c r="HN56" s="57"/>
      <c r="HO56" s="93"/>
      <c r="HP56" s="57"/>
      <c r="HQ56" s="57"/>
      <c r="HR56" s="57"/>
      <c r="HS56" s="57"/>
      <c r="HT56" s="57"/>
      <c r="HU56" s="57"/>
      <c r="HV56" s="57"/>
      <c r="HW56" s="57"/>
      <c r="HX56" s="57"/>
      <c r="HY56" s="57"/>
      <c r="HZ56" s="57"/>
      <c r="IA56" s="57"/>
      <c r="IB56" s="93"/>
      <c r="IC56" s="57"/>
      <c r="ID56" s="57"/>
      <c r="IE56" s="57"/>
      <c r="IF56" s="57"/>
      <c r="IG56" s="57"/>
      <c r="IH56" s="57"/>
      <c r="II56" s="57"/>
      <c r="IJ56" s="57"/>
      <c r="IK56" s="57"/>
      <c r="IL56" s="57"/>
      <c r="IM56" s="57"/>
      <c r="IN56" s="57"/>
      <c r="IO56" s="93"/>
      <c r="IP56" s="57"/>
      <c r="IQ56" s="57"/>
      <c r="IR56" s="57"/>
      <c r="IS56" s="57"/>
      <c r="IT56" s="57"/>
      <c r="IU56" s="57"/>
      <c r="IV56" s="57"/>
    </row>
    <row r="57" spans="1:256" ht="14.25" outlineLevel="1">
      <c r="A57" s="48"/>
      <c r="B57" s="96" t="s">
        <v>378</v>
      </c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93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93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93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93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93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93"/>
      <c r="CC57" s="49"/>
      <c r="CD57" s="49"/>
      <c r="CE57" s="49"/>
      <c r="CF57" s="49"/>
      <c r="CG57" s="49"/>
      <c r="CH57" s="49"/>
      <c r="CI57" s="49"/>
      <c r="CJ57" s="49">
        <f>CJ58+CJ59</f>
        <v>1250</v>
      </c>
      <c r="CK57" s="49"/>
      <c r="CL57" s="49"/>
      <c r="CM57" s="49"/>
      <c r="CN57" s="49"/>
      <c r="CO57" s="93">
        <f>CN57+CM57+CL57+CK57+CJ57+CI57+CH57+CG57+CF57+CE57+CD57+CC57</f>
        <v>1250</v>
      </c>
      <c r="CP57" s="49"/>
      <c r="CQ57" s="49"/>
      <c r="CR57" s="49"/>
      <c r="CS57" s="49"/>
      <c r="CT57" s="49"/>
      <c r="CU57" s="49"/>
      <c r="CV57" s="49"/>
      <c r="CW57" s="49">
        <f>CW58</f>
        <v>9680</v>
      </c>
      <c r="CX57" s="49"/>
      <c r="CY57" s="49"/>
      <c r="CZ57" s="49"/>
      <c r="DA57" s="49"/>
      <c r="DB57" s="93">
        <f>DA57+CZ57+CY57+CX57+CW57+CV57+CU57+CT57+CS57+CR57+CQ57+CP57</f>
        <v>9680</v>
      </c>
      <c r="DC57" s="49"/>
      <c r="DD57" s="49"/>
      <c r="DE57" s="49"/>
      <c r="DF57" s="49"/>
      <c r="DG57" s="49"/>
      <c r="DH57" s="49"/>
      <c r="DI57" s="49"/>
      <c r="DJ57" s="49">
        <f>DJ58</f>
        <v>4840</v>
      </c>
      <c r="DK57" s="49"/>
      <c r="DL57" s="49"/>
      <c r="DM57" s="49"/>
      <c r="DN57" s="49"/>
      <c r="DO57" s="93">
        <f>DN57+DM57+DL57+DK57+DJ57+DI57+DH57+DG57+DF57+DE57+DD57+DC57</f>
        <v>4840</v>
      </c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93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93"/>
      <c r="EP57" s="49"/>
      <c r="EQ57" s="49"/>
      <c r="ER57" s="49"/>
      <c r="ES57" s="49"/>
      <c r="ET57" s="49"/>
      <c r="EU57" s="49"/>
      <c r="EV57" s="49"/>
      <c r="EW57" s="49">
        <f>EW59</f>
        <v>1250</v>
      </c>
      <c r="EX57" s="49"/>
      <c r="EY57" s="49"/>
      <c r="EZ57" s="49"/>
      <c r="FA57" s="49"/>
      <c r="FB57" s="93">
        <f>FA57+EZ57+EY57+EX57+EW57+EV57+EU57+ET57+ES57+ER57+EQ57+EP57</f>
        <v>1250</v>
      </c>
      <c r="FC57" s="49"/>
      <c r="FD57" s="49"/>
      <c r="FE57" s="49"/>
      <c r="FF57" s="49"/>
      <c r="FG57" s="49"/>
      <c r="FH57" s="49"/>
      <c r="FI57" s="49"/>
      <c r="FJ57" s="49">
        <f>FJ58</f>
        <v>9680</v>
      </c>
      <c r="FK57" s="49"/>
      <c r="FL57" s="49"/>
      <c r="FM57" s="49"/>
      <c r="FN57" s="49"/>
      <c r="FO57" s="93">
        <f>FN57+FM57+FL57+FK57+FJ57+FI57+FH57+FG57+FF57+FE57+FD57+FC57</f>
        <v>9680</v>
      </c>
      <c r="FP57" s="49"/>
      <c r="FQ57" s="49"/>
      <c r="FR57" s="49"/>
      <c r="FS57" s="49"/>
      <c r="FT57" s="49"/>
      <c r="FU57" s="49"/>
      <c r="FV57" s="49"/>
      <c r="FW57" s="49">
        <f>FW58</f>
        <v>4840</v>
      </c>
      <c r="FX57" s="49"/>
      <c r="FY57" s="49"/>
      <c r="FZ57" s="49"/>
      <c r="GA57" s="49"/>
      <c r="GB57" s="93">
        <f>GA57+FZ57+FY57+FX57+FW57+FV57+FU57+FT57+FS57+FR57+FQ57+FP57</f>
        <v>4840</v>
      </c>
      <c r="GC57" s="49"/>
      <c r="GD57" s="49"/>
      <c r="GE57" s="49"/>
      <c r="GF57" s="49"/>
      <c r="GG57" s="49"/>
      <c r="GH57" s="49"/>
      <c r="GI57" s="49"/>
      <c r="GJ57" s="49"/>
      <c r="GK57" s="49"/>
      <c r="GL57" s="49"/>
      <c r="GM57" s="49"/>
      <c r="GN57" s="49"/>
      <c r="GO57" s="93"/>
      <c r="GP57" s="49"/>
      <c r="GQ57" s="49"/>
      <c r="GR57" s="49"/>
      <c r="GS57" s="49"/>
      <c r="GT57" s="49"/>
      <c r="GU57" s="49"/>
      <c r="GV57" s="49"/>
      <c r="GW57" s="49"/>
      <c r="GX57" s="49"/>
      <c r="GY57" s="49"/>
      <c r="GZ57" s="49"/>
      <c r="HA57" s="49"/>
      <c r="HB57" s="93"/>
      <c r="HC57" s="49">
        <f aca="true" t="shared" si="112" ref="HC57:HC84">HB57+GO57+GB57+FO57+FB57+EO57+EB57+DO57+DB57+CO57+CB57+BO57+BB57+AO57+AB57+O57</f>
        <v>31540</v>
      </c>
      <c r="HD57" s="49"/>
      <c r="HE57" s="49"/>
      <c r="HF57" s="49"/>
      <c r="HG57" s="49"/>
      <c r="HH57" s="49"/>
      <c r="HI57" s="49"/>
      <c r="HJ57" s="49"/>
      <c r="HK57" s="49"/>
      <c r="HL57" s="49"/>
      <c r="HM57" s="49"/>
      <c r="HN57" s="49"/>
      <c r="HO57" s="93"/>
      <c r="HP57" s="49"/>
      <c r="HQ57" s="49"/>
      <c r="HR57" s="49"/>
      <c r="HS57" s="49"/>
      <c r="HT57" s="49"/>
      <c r="HU57" s="49"/>
      <c r="HV57" s="49"/>
      <c r="HW57" s="49"/>
      <c r="HX57" s="49"/>
      <c r="HY57" s="49"/>
      <c r="HZ57" s="49"/>
      <c r="IA57" s="49"/>
      <c r="IB57" s="93"/>
      <c r="IC57" s="49"/>
      <c r="ID57" s="49"/>
      <c r="IE57" s="49"/>
      <c r="IF57" s="49"/>
      <c r="IG57" s="49"/>
      <c r="IH57" s="49"/>
      <c r="II57" s="49"/>
      <c r="IJ57" s="49"/>
      <c r="IK57" s="49"/>
      <c r="IL57" s="49"/>
      <c r="IM57" s="49"/>
      <c r="IN57" s="49"/>
      <c r="IO57" s="93"/>
      <c r="IP57" s="49"/>
      <c r="IQ57" s="49"/>
      <c r="IR57" s="49"/>
      <c r="IS57" s="49"/>
      <c r="IT57" s="49"/>
      <c r="IU57" s="49"/>
      <c r="IV57" s="49"/>
    </row>
    <row r="58" spans="2:256" ht="14.25" outlineLevel="2">
      <c r="B58" s="100" t="s">
        <v>413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95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95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95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95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95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95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95"/>
      <c r="CP58" s="53"/>
      <c r="CQ58" s="53"/>
      <c r="CR58" s="53"/>
      <c r="CS58" s="53"/>
      <c r="CT58" s="53"/>
      <c r="CU58" s="53"/>
      <c r="CV58" s="53"/>
      <c r="CW58" s="53">
        <v>9680</v>
      </c>
      <c r="CX58" s="53"/>
      <c r="CY58" s="53"/>
      <c r="CZ58" s="53"/>
      <c r="DA58" s="53"/>
      <c r="DB58" s="93">
        <f>DA58+CZ58+CY58+CX58+CW58+CV58+CU58+CT58+CS58+CR58+CQ58+CP58</f>
        <v>9680</v>
      </c>
      <c r="DC58" s="53"/>
      <c r="DD58" s="53"/>
      <c r="DE58" s="53"/>
      <c r="DF58" s="53"/>
      <c r="DG58" s="53"/>
      <c r="DH58" s="53"/>
      <c r="DI58" s="53"/>
      <c r="DJ58" s="53">
        <v>4840</v>
      </c>
      <c r="DK58" s="53"/>
      <c r="DL58" s="53"/>
      <c r="DM58" s="53"/>
      <c r="DN58" s="53"/>
      <c r="DO58" s="93">
        <f>DN58+DM58+DL58+DK58+DJ58+DI58+DH58+DG58+DF58+DE58+DD58+DC58</f>
        <v>4840</v>
      </c>
      <c r="DP58" s="53"/>
      <c r="DQ58" s="53"/>
      <c r="DR58" s="53"/>
      <c r="DS58" s="53"/>
      <c r="DT58" s="53"/>
      <c r="DU58" s="53"/>
      <c r="DV58" s="53"/>
      <c r="DW58" s="53"/>
      <c r="DX58" s="53"/>
      <c r="DY58" s="53"/>
      <c r="DZ58" s="53"/>
      <c r="EA58" s="53"/>
      <c r="EB58" s="95"/>
      <c r="EC58" s="53"/>
      <c r="ED58" s="53"/>
      <c r="EE58" s="53"/>
      <c r="EF58" s="53"/>
      <c r="EG58" s="53"/>
      <c r="EH58" s="53"/>
      <c r="EI58" s="53"/>
      <c r="EJ58" s="53"/>
      <c r="EK58" s="53"/>
      <c r="EL58" s="53"/>
      <c r="EM58" s="53"/>
      <c r="EN58" s="53"/>
      <c r="EO58" s="95"/>
      <c r="EP58" s="53"/>
      <c r="EQ58" s="53"/>
      <c r="ER58" s="53"/>
      <c r="ES58" s="53"/>
      <c r="ET58" s="53"/>
      <c r="EU58" s="53"/>
      <c r="EV58" s="53"/>
      <c r="EW58" s="53"/>
      <c r="EX58" s="53"/>
      <c r="EY58" s="53"/>
      <c r="EZ58" s="53"/>
      <c r="FA58" s="53"/>
      <c r="FB58" s="95"/>
      <c r="FC58" s="53"/>
      <c r="FD58" s="53"/>
      <c r="FE58" s="53"/>
      <c r="FF58" s="53"/>
      <c r="FG58" s="53"/>
      <c r="FH58" s="53"/>
      <c r="FI58" s="53"/>
      <c r="FJ58" s="53">
        <v>9680</v>
      </c>
      <c r="FK58" s="53"/>
      <c r="FL58" s="53"/>
      <c r="FM58" s="53"/>
      <c r="FN58" s="53"/>
      <c r="FO58" s="93">
        <f>FN58+FM58+FL58+FK58+FJ58+FI58+FH58+FG58+FF58+FE58+FD58+FC58</f>
        <v>9680</v>
      </c>
      <c r="FP58" s="53"/>
      <c r="FQ58" s="53"/>
      <c r="FR58" s="53"/>
      <c r="FS58" s="53"/>
      <c r="FT58" s="53"/>
      <c r="FU58" s="53"/>
      <c r="FV58" s="53"/>
      <c r="FW58" s="53">
        <v>4840</v>
      </c>
      <c r="FX58" s="53"/>
      <c r="FY58" s="53"/>
      <c r="FZ58" s="53"/>
      <c r="GA58" s="53"/>
      <c r="GB58" s="93">
        <f>GA58+FZ58+FY58+FX58+FW58+FV58+FU58+FT58+FS58+FR58+FQ58+FP58</f>
        <v>4840</v>
      </c>
      <c r="GC58" s="54"/>
      <c r="GD58" s="53"/>
      <c r="GE58" s="53"/>
      <c r="GF58" s="53"/>
      <c r="GG58" s="53"/>
      <c r="GH58" s="53"/>
      <c r="GI58" s="53"/>
      <c r="GJ58" s="53"/>
      <c r="GK58" s="53"/>
      <c r="GL58" s="53"/>
      <c r="GM58" s="53"/>
      <c r="GN58" s="53"/>
      <c r="GO58" s="95"/>
      <c r="GP58" s="53"/>
      <c r="GQ58" s="53"/>
      <c r="GR58" s="53"/>
      <c r="GS58" s="53"/>
      <c r="GT58" s="53"/>
      <c r="GU58" s="53"/>
      <c r="GV58" s="53"/>
      <c r="GW58" s="53"/>
      <c r="GX58" s="53"/>
      <c r="GY58" s="53"/>
      <c r="GZ58" s="53"/>
      <c r="HA58" s="53"/>
      <c r="HB58" s="95"/>
      <c r="HC58" s="49">
        <f t="shared" si="112"/>
        <v>29040</v>
      </c>
      <c r="HD58" s="53"/>
      <c r="HE58" s="53"/>
      <c r="HF58" s="53"/>
      <c r="HG58" s="53"/>
      <c r="HH58" s="53"/>
      <c r="HI58" s="53"/>
      <c r="HJ58" s="53"/>
      <c r="HK58" s="53"/>
      <c r="HL58" s="53"/>
      <c r="HM58" s="53"/>
      <c r="HN58" s="53"/>
      <c r="HO58" s="95"/>
      <c r="HP58" s="53"/>
      <c r="HQ58" s="53"/>
      <c r="HR58" s="53"/>
      <c r="HS58" s="53"/>
      <c r="HT58" s="53"/>
      <c r="HU58" s="53"/>
      <c r="HV58" s="53"/>
      <c r="HW58" s="53"/>
      <c r="HX58" s="53"/>
      <c r="HY58" s="53"/>
      <c r="HZ58" s="53"/>
      <c r="IA58" s="53"/>
      <c r="IB58" s="95"/>
      <c r="IC58" s="53"/>
      <c r="ID58" s="53"/>
      <c r="IE58" s="53"/>
      <c r="IF58" s="53"/>
      <c r="IG58" s="53"/>
      <c r="IH58" s="53"/>
      <c r="II58" s="53"/>
      <c r="IJ58" s="53"/>
      <c r="IK58" s="53"/>
      <c r="IL58" s="53"/>
      <c r="IM58" s="53"/>
      <c r="IN58" s="53"/>
      <c r="IO58" s="95"/>
      <c r="IP58" s="53"/>
      <c r="IQ58" s="53"/>
      <c r="IR58" s="53"/>
      <c r="IS58" s="53"/>
      <c r="IT58" s="53"/>
      <c r="IU58" s="53"/>
      <c r="IV58" s="53"/>
    </row>
    <row r="59" spans="2:256" ht="14.25" outlineLevel="2">
      <c r="B59" s="100" t="s">
        <v>414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95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95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95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95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95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95"/>
      <c r="CC59" s="53"/>
      <c r="CD59" s="53"/>
      <c r="CE59" s="53"/>
      <c r="CF59" s="53"/>
      <c r="CG59" s="53"/>
      <c r="CH59" s="53"/>
      <c r="CI59" s="53"/>
      <c r="CJ59" s="53">
        <v>1250</v>
      </c>
      <c r="CK59" s="53"/>
      <c r="CL59" s="53"/>
      <c r="CM59" s="53"/>
      <c r="CN59" s="53"/>
      <c r="CO59" s="93">
        <f>CN59+CM59+CL59+CK59+CJ59+CI59+CH59+CG59+CF59+CE59+CD59+CC59</f>
        <v>1250</v>
      </c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95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95"/>
      <c r="DP59" s="53"/>
      <c r="DQ59" s="53"/>
      <c r="DR59" s="53"/>
      <c r="DS59" s="53"/>
      <c r="DT59" s="53"/>
      <c r="DU59" s="53"/>
      <c r="DV59" s="53"/>
      <c r="DW59" s="53"/>
      <c r="DX59" s="53"/>
      <c r="DY59" s="53"/>
      <c r="DZ59" s="53"/>
      <c r="EA59" s="53"/>
      <c r="EB59" s="95"/>
      <c r="EC59" s="53"/>
      <c r="ED59" s="53"/>
      <c r="EE59" s="53"/>
      <c r="EF59" s="53"/>
      <c r="EG59" s="53"/>
      <c r="EH59" s="53"/>
      <c r="EI59" s="53"/>
      <c r="EJ59" s="53"/>
      <c r="EK59" s="53"/>
      <c r="EL59" s="53"/>
      <c r="EM59" s="53"/>
      <c r="EN59" s="53"/>
      <c r="EO59" s="95"/>
      <c r="EP59" s="53"/>
      <c r="EQ59" s="53"/>
      <c r="ER59" s="53"/>
      <c r="ES59" s="53"/>
      <c r="ET59" s="53"/>
      <c r="EU59" s="53"/>
      <c r="EV59" s="53"/>
      <c r="EW59" s="53">
        <v>1250</v>
      </c>
      <c r="EX59" s="53"/>
      <c r="EY59" s="53"/>
      <c r="EZ59" s="53"/>
      <c r="FA59" s="53"/>
      <c r="FB59" s="93">
        <f>FA59+EZ59+EY59+EX59+EW59+EV59+EU59+ET59+ES59+ER59+EQ59+EP59</f>
        <v>1250</v>
      </c>
      <c r="FC59" s="53"/>
      <c r="FD59" s="53"/>
      <c r="FE59" s="53"/>
      <c r="FF59" s="53"/>
      <c r="FG59" s="53"/>
      <c r="FH59" s="53"/>
      <c r="FI59" s="53"/>
      <c r="FJ59" s="53"/>
      <c r="FK59" s="53"/>
      <c r="FL59" s="53"/>
      <c r="FM59" s="53"/>
      <c r="FN59" s="53"/>
      <c r="FO59" s="95"/>
      <c r="FP59" s="53"/>
      <c r="FQ59" s="53"/>
      <c r="FR59" s="53"/>
      <c r="FS59" s="53"/>
      <c r="FT59" s="53"/>
      <c r="FU59" s="53"/>
      <c r="FV59" s="53"/>
      <c r="FW59" s="53"/>
      <c r="FX59" s="53"/>
      <c r="FY59" s="53"/>
      <c r="FZ59" s="53"/>
      <c r="GA59" s="53"/>
      <c r="GB59" s="93"/>
      <c r="GC59" s="54"/>
      <c r="GD59" s="53"/>
      <c r="GE59" s="53"/>
      <c r="GF59" s="53"/>
      <c r="GG59" s="53"/>
      <c r="GH59" s="53"/>
      <c r="GI59" s="53"/>
      <c r="GJ59" s="53"/>
      <c r="GK59" s="53"/>
      <c r="GL59" s="53"/>
      <c r="GM59" s="53"/>
      <c r="GN59" s="53"/>
      <c r="GO59" s="95"/>
      <c r="GP59" s="53"/>
      <c r="GQ59" s="53"/>
      <c r="GR59" s="53"/>
      <c r="GS59" s="53"/>
      <c r="GT59" s="53"/>
      <c r="GU59" s="53"/>
      <c r="GV59" s="53"/>
      <c r="GW59" s="53"/>
      <c r="GX59" s="53"/>
      <c r="GY59" s="53"/>
      <c r="GZ59" s="53"/>
      <c r="HA59" s="53"/>
      <c r="HB59" s="95"/>
      <c r="HC59" s="49">
        <f t="shared" si="112"/>
        <v>2500</v>
      </c>
      <c r="HD59" s="53"/>
      <c r="HE59" s="53"/>
      <c r="HF59" s="53"/>
      <c r="HG59" s="53"/>
      <c r="HH59" s="53"/>
      <c r="HI59" s="53"/>
      <c r="HJ59" s="53"/>
      <c r="HK59" s="53"/>
      <c r="HL59" s="53"/>
      <c r="HM59" s="53"/>
      <c r="HN59" s="53"/>
      <c r="HO59" s="95"/>
      <c r="HP59" s="53"/>
      <c r="HQ59" s="53"/>
      <c r="HR59" s="53"/>
      <c r="HS59" s="53"/>
      <c r="HT59" s="53"/>
      <c r="HU59" s="53"/>
      <c r="HV59" s="53"/>
      <c r="HW59" s="53"/>
      <c r="HX59" s="53"/>
      <c r="HY59" s="53"/>
      <c r="HZ59" s="53"/>
      <c r="IA59" s="53"/>
      <c r="IB59" s="95"/>
      <c r="IC59" s="53"/>
      <c r="ID59" s="53"/>
      <c r="IE59" s="53"/>
      <c r="IF59" s="53"/>
      <c r="IG59" s="53"/>
      <c r="IH59" s="53"/>
      <c r="II59" s="53"/>
      <c r="IJ59" s="53"/>
      <c r="IK59" s="53"/>
      <c r="IL59" s="53"/>
      <c r="IM59" s="53"/>
      <c r="IN59" s="53"/>
      <c r="IO59" s="95"/>
      <c r="IP59" s="53"/>
      <c r="IQ59" s="53"/>
      <c r="IR59" s="53"/>
      <c r="IS59" s="53"/>
      <c r="IT59" s="53"/>
      <c r="IU59" s="53"/>
      <c r="IV59" s="53"/>
    </row>
    <row r="60" spans="1:256" s="32" customFormat="1" ht="14.25" outlineLevel="1">
      <c r="A60" s="48"/>
      <c r="B60" s="96" t="s">
        <v>379</v>
      </c>
      <c r="C60" s="49"/>
      <c r="D60" s="49"/>
      <c r="E60" s="49"/>
      <c r="F60" s="49"/>
      <c r="G60" s="49"/>
      <c r="H60" s="49"/>
      <c r="I60" s="49"/>
      <c r="J60" s="49"/>
      <c r="K60" s="49">
        <f>K61+K62+K63+K64+K65+K66+K67+K68+K69+K70+K71+K72+K73+K74+K75+K76+K77+K78+K79+K80+K81+K82+K83</f>
        <v>10823</v>
      </c>
      <c r="L60" s="49"/>
      <c r="M60" s="49"/>
      <c r="N60" s="49"/>
      <c r="O60" s="93">
        <f>K60</f>
        <v>10823</v>
      </c>
      <c r="P60" s="49"/>
      <c r="Q60" s="49"/>
      <c r="R60" s="49"/>
      <c r="S60" s="49"/>
      <c r="T60" s="49">
        <f>T61+T62+T63+T64+T65+T66+T67+T68+T69+T70+T71+T72+T73+T74+T75+T76+T77+T78+T79+T80+T81+T82+T83</f>
        <v>1250</v>
      </c>
      <c r="U60" s="49"/>
      <c r="V60" s="49"/>
      <c r="W60" s="49">
        <f>W61+W62+W63+W64+W65+W66+W67+W68+W69+W70+W71+W72+W73+W74+W75+W76+W77+W78+W79+W80+W81+W82+W83</f>
        <v>11802.5356</v>
      </c>
      <c r="X60" s="49">
        <f>X61+X62+X63+X64+X65+X66+X67+X68+X69+X70+X71+X72+X73+X74+X75+X76+X77+X78+X79+X80+X81+X82+X83</f>
        <v>67107.24407</v>
      </c>
      <c r="Y60" s="49"/>
      <c r="Z60" s="49"/>
      <c r="AA60" s="49"/>
      <c r="AB60" s="93">
        <f>AA60+Z60+Y60+X60+W60+V60+U60+T60+S60+R60+Q60+P60</f>
        <v>80159.77967</v>
      </c>
      <c r="AC60" s="49"/>
      <c r="AD60" s="49"/>
      <c r="AE60" s="49"/>
      <c r="AF60" s="49"/>
      <c r="AG60" s="49">
        <f>AG61+AG62+AG63+AG64+AG65+AG66+AG67+AG68+AG69+AG70+AG71+AG72+AG73+AG74+AG75+AG76+AG77+AG78+AG79+AG80+AG81+AG82+AG83</f>
        <v>13298</v>
      </c>
      <c r="AH60" s="49"/>
      <c r="AI60" s="49"/>
      <c r="AJ60" s="49">
        <f>AJ61+AJ62+AJ63+AJ64+AJ65+AJ66+AJ67+AJ68+AJ69+AJ70+AJ71+AJ72+AJ73+AJ74+AJ75+AJ76+AJ77+AJ78+AJ79+AJ80+AJ81+AJ82+AJ83</f>
        <v>80105.24324</v>
      </c>
      <c r="AK60" s="49">
        <f>AK61+AK62+AK63+AK64+AK65+AK66+AK67+AK68+AK69+AK70+AK71+AK72+AK73+AK74+AK75+AK76+AK77+AK78+AK79+AK80+AK81+AK82+AK83</f>
        <v>106899.97628</v>
      </c>
      <c r="AL60" s="49"/>
      <c r="AM60" s="49"/>
      <c r="AN60" s="49"/>
      <c r="AO60" s="93">
        <f>AN60+AM60+AL60+AK60+AJ60+AI60+AH60+AG60+AF60+AE60+AD60+AC60</f>
        <v>200303.21951999998</v>
      </c>
      <c r="AP60" s="49"/>
      <c r="AQ60" s="49"/>
      <c r="AR60" s="49"/>
      <c r="AS60" s="49"/>
      <c r="AT60" s="49">
        <f>AT61+AT62+AT63+AT64+AT65+AT66+AT67+AT68+AT69+AT70+AT71+AT72+AT73+AT74+AT75+AT76+AT77+AT78+AT79+AT80+AT81+AT82+AT83</f>
        <v>6524</v>
      </c>
      <c r="AU60" s="49"/>
      <c r="AV60" s="49"/>
      <c r="AW60" s="49">
        <f>AW61+AW62+AW63+AW64+AW65+AW66+AW67+AW68+AW69+AW70+AW71+AW72+AW73+AW74+AW75+AW76+AW77+AW78+AW79+AW80+AW81+AW82+AW83</f>
        <v>113273.97628</v>
      </c>
      <c r="AX60" s="49"/>
      <c r="AY60" s="49"/>
      <c r="AZ60" s="49"/>
      <c r="BA60" s="49"/>
      <c r="BB60" s="93">
        <f>BA60+AZ60+AY60+AX60+AW60+AV60+AU60+AT60+AS60+AR60+AQ60+AP60</f>
        <v>119797.97628</v>
      </c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93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93"/>
      <c r="CC60" s="49"/>
      <c r="CD60" s="49"/>
      <c r="CE60" s="49"/>
      <c r="CF60" s="49"/>
      <c r="CG60" s="49">
        <f>CG61+CG62+CG63+CG64+CG65+CG66+CG67+CG68+CG69+CG70+CG71+CG72+CG73+CG74+CG75+CG76+CG77+CG78+CG79+CG80+CG81+CG82+CG83</f>
        <v>1250</v>
      </c>
      <c r="CH60" s="49"/>
      <c r="CI60" s="49"/>
      <c r="CJ60" s="49">
        <f>CJ61+CJ62+CJ63+CJ64+CJ65+CJ66+CJ67+CJ68+CJ69+CJ70+CJ71+CJ72+CJ73+CJ74+CJ75+CJ76+CJ77+CJ78+CJ79+CJ80+CJ81+CJ82+CJ83</f>
        <v>1250</v>
      </c>
      <c r="CK60" s="49"/>
      <c r="CL60" s="49"/>
      <c r="CM60" s="49"/>
      <c r="CN60" s="49"/>
      <c r="CO60" s="93">
        <f>CN60+CM60+CL60+CK60+CJ60+CI60+CH60+CG60+CF60+CE60+CD60+CC60</f>
        <v>2500</v>
      </c>
      <c r="CP60" s="49"/>
      <c r="CQ60" s="49"/>
      <c r="CR60" s="49"/>
      <c r="CS60" s="49"/>
      <c r="CT60" s="49">
        <f>CT61+CT62+CT63+CT64+CT65+CT66+CT67+CT68+CT69+CT70+CT71+CT72+CT73+CT74+CT75+CT76+CT77+CT78+CT79+CT80+CT81+CT82+CT83</f>
        <v>9680</v>
      </c>
      <c r="CU60" s="49"/>
      <c r="CV60" s="49"/>
      <c r="CW60" s="49">
        <f>CW61+CW62+CW63+CW64+CW65+CW66+CW67+CW68+CW69+CW70+CW71+CW72+CW73+CW74+CW75+CW76+CW77+CW78+CW79+CW80+CW81+CW82+CW83</f>
        <v>9680</v>
      </c>
      <c r="CX60" s="49"/>
      <c r="CY60" s="49"/>
      <c r="CZ60" s="49"/>
      <c r="DA60" s="49"/>
      <c r="DB60" s="93">
        <f>DA60+CZ60+CY60+CX60+CW60+CV60+CU60+CT60+CS60+CR60+CQ60+CP60</f>
        <v>19360</v>
      </c>
      <c r="DC60" s="49"/>
      <c r="DD60" s="49"/>
      <c r="DE60" s="49"/>
      <c r="DF60" s="49"/>
      <c r="DG60" s="49">
        <f>DG61+DG62+DG63+DG64+DG65+DG66+DG67+DG68+DG69+DG70+DG71+DG72+DG73+DG74+DG75+DG76+DG77+DG78+DG79+DG80+DG81+DG82+DG83</f>
        <v>4840</v>
      </c>
      <c r="DH60" s="49"/>
      <c r="DI60" s="49"/>
      <c r="DJ60" s="49">
        <f>DJ61+DJ62+DJ63+DJ64+DJ65+DJ66+DJ67+DJ68+DJ69+DJ70+DJ71+DJ72+DJ73+DJ74+DJ75+DJ76+DJ77+DJ78+DJ79+DJ80+DJ81+DJ82+DJ83</f>
        <v>4840</v>
      </c>
      <c r="DK60" s="49"/>
      <c r="DL60" s="49"/>
      <c r="DM60" s="49"/>
      <c r="DN60" s="49"/>
      <c r="DO60" s="93">
        <f>DN60+DM60+DL60+DK60+DJ60+DI60+DH60+DG60+DF60+DE60+DD60+DC60</f>
        <v>9680</v>
      </c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93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93"/>
      <c r="EP60" s="49"/>
      <c r="EQ60" s="49"/>
      <c r="ER60" s="49"/>
      <c r="ES60" s="49"/>
      <c r="ET60" s="49">
        <f>ET61+ET62+ET63+ET64+ET65+ET66+ET67+ET68+ET69+ET70+ET71+ET72+ET73+ET74+ET75+ET76+ET77+ET78+ET79+ET80+ET81+ET82+ET83</f>
        <v>1250</v>
      </c>
      <c r="EU60" s="49"/>
      <c r="EV60" s="49"/>
      <c r="EW60" s="49">
        <f>EW61+EW62+EW63+EW64+EW65+EW66+EW67+EW68+EW69+EW70+EW71+EW72+EW73+EW74+EW75+EW76+EW77+EW78+EW79+EW80+EW81+EW82+EW83</f>
        <v>1250</v>
      </c>
      <c r="EX60" s="49"/>
      <c r="EY60" s="49"/>
      <c r="EZ60" s="49"/>
      <c r="FA60" s="49"/>
      <c r="FB60" s="93">
        <f>FA60+EZ60+EY60+EX60+EW60+EV60+EU60+ET60+ES60+ER60+EQ60+EP60</f>
        <v>2500</v>
      </c>
      <c r="FC60" s="49"/>
      <c r="FD60" s="49"/>
      <c r="FE60" s="49"/>
      <c r="FF60" s="49"/>
      <c r="FG60" s="49">
        <f>FG61+FG62+FG63+FG64+FG65+FG66+FG67+FG68+FG69+FG70+FG71+FG72+FG73+FG74+FG75+FG76+FG77+FG78+FG79+FG80+FG81+FG82+FG83</f>
        <v>9680</v>
      </c>
      <c r="FH60" s="49"/>
      <c r="FI60" s="49"/>
      <c r="FJ60" s="49">
        <f>FJ61+FJ62+FJ63+FJ64+FJ65+FJ66+FJ67+FJ68+FJ69+FJ70+FJ71+FJ72+FJ73+FJ74+FJ75+FJ76+FJ77+FJ78+FJ79+FJ80+FJ81+FJ82+FJ83</f>
        <v>9680</v>
      </c>
      <c r="FK60" s="49"/>
      <c r="FL60" s="49"/>
      <c r="FM60" s="49"/>
      <c r="FN60" s="49"/>
      <c r="FO60" s="93">
        <f>FN60+FM60+FL60+FK60+FJ60+FI60+FH60+FG60+FF60+FE60+FD60+FC60</f>
        <v>19360</v>
      </c>
      <c r="FP60" s="49"/>
      <c r="FQ60" s="49"/>
      <c r="FR60" s="49"/>
      <c r="FS60" s="49"/>
      <c r="FT60" s="49">
        <f>FT61+FT62+FT63+FT64+FT65+FT66+FT67+FT68+FT69+FT70+FT71+FT72+FT73+FT74+FT75+FT76+FT77+FT78+FT79+FT80+FT81+FT82+FT83</f>
        <v>4840</v>
      </c>
      <c r="FU60" s="49"/>
      <c r="FV60" s="49"/>
      <c r="FW60" s="49">
        <f>FW61+FW62+FW63+FW64+FW65+FW66+FW67+FW68+FW69+FW70+FW71+FW72+FW73+FW74+FW75+FW76+FW77+FW78+FW79+FW80+FW81+FW82+FW83</f>
        <v>4840</v>
      </c>
      <c r="FX60" s="49"/>
      <c r="FY60" s="49"/>
      <c r="FZ60" s="49"/>
      <c r="GA60" s="49"/>
      <c r="GB60" s="93">
        <f>GA60+FZ60+FY60+FX60+FW60+FV60+FU60+FT60+FS60+FR60+FQ60+FP60</f>
        <v>9680</v>
      </c>
      <c r="GC60" s="49"/>
      <c r="GD60" s="49"/>
      <c r="GE60" s="49"/>
      <c r="GF60" s="49"/>
      <c r="GG60" s="49"/>
      <c r="GH60" s="49"/>
      <c r="GI60" s="49"/>
      <c r="GJ60" s="49"/>
      <c r="GK60" s="49"/>
      <c r="GL60" s="49"/>
      <c r="GM60" s="49"/>
      <c r="GN60" s="49"/>
      <c r="GO60" s="93"/>
      <c r="GP60" s="49"/>
      <c r="GQ60" s="49"/>
      <c r="GR60" s="49"/>
      <c r="GS60" s="49"/>
      <c r="GT60" s="49"/>
      <c r="GU60" s="49"/>
      <c r="GV60" s="49"/>
      <c r="GW60" s="49"/>
      <c r="GX60" s="49"/>
      <c r="GY60" s="49"/>
      <c r="GZ60" s="49"/>
      <c r="HA60" s="49"/>
      <c r="HB60" s="93"/>
      <c r="HC60" s="49">
        <f t="shared" si="112"/>
        <v>474163.97547</v>
      </c>
      <c r="HD60" s="49"/>
      <c r="HE60" s="49"/>
      <c r="HF60" s="49"/>
      <c r="HG60" s="49"/>
      <c r="HH60" s="49"/>
      <c r="HI60" s="49"/>
      <c r="HJ60" s="49"/>
      <c r="HK60" s="49"/>
      <c r="HL60" s="49"/>
      <c r="HM60" s="49"/>
      <c r="HN60" s="49"/>
      <c r="HO60" s="93"/>
      <c r="HP60" s="49"/>
      <c r="HQ60" s="49"/>
      <c r="HR60" s="49"/>
      <c r="HS60" s="49"/>
      <c r="HT60" s="49"/>
      <c r="HU60" s="49"/>
      <c r="HV60" s="49"/>
      <c r="HW60" s="49"/>
      <c r="HX60" s="49"/>
      <c r="HY60" s="49"/>
      <c r="HZ60" s="49"/>
      <c r="IA60" s="49"/>
      <c r="IB60" s="93"/>
      <c r="IC60" s="49"/>
      <c r="ID60" s="49"/>
      <c r="IE60" s="49"/>
      <c r="IF60" s="49"/>
      <c r="IG60" s="49"/>
      <c r="IH60" s="49"/>
      <c r="II60" s="49"/>
      <c r="IJ60" s="49"/>
      <c r="IK60" s="49"/>
      <c r="IL60" s="49"/>
      <c r="IM60" s="49"/>
      <c r="IN60" s="49"/>
      <c r="IO60" s="93"/>
      <c r="IP60" s="49"/>
      <c r="IQ60" s="49"/>
      <c r="IR60" s="49"/>
      <c r="IS60" s="49"/>
      <c r="IT60" s="49"/>
      <c r="IU60" s="49"/>
      <c r="IV60" s="49"/>
    </row>
    <row r="61" spans="2:256" ht="14.25" outlineLevel="2">
      <c r="B61" s="100" t="s">
        <v>440</v>
      </c>
      <c r="C61" s="53"/>
      <c r="D61" s="53"/>
      <c r="E61" s="53"/>
      <c r="F61" s="53"/>
      <c r="G61" s="53"/>
      <c r="H61" s="53"/>
      <c r="I61" s="53"/>
      <c r="J61" s="53"/>
      <c r="K61" s="53">
        <v>10553</v>
      </c>
      <c r="L61" s="53"/>
      <c r="M61" s="53"/>
      <c r="N61" s="53"/>
      <c r="O61" s="93">
        <f>K61</f>
        <v>10553</v>
      </c>
      <c r="P61" s="53"/>
      <c r="Q61" s="53"/>
      <c r="R61" s="53"/>
      <c r="S61" s="53"/>
      <c r="T61" s="53"/>
      <c r="U61" s="53"/>
      <c r="V61" s="53"/>
      <c r="W61" s="53">
        <v>10552.5356</v>
      </c>
      <c r="X61" s="53"/>
      <c r="Y61" s="53"/>
      <c r="Z61" s="53"/>
      <c r="AA61" s="53"/>
      <c r="AB61" s="93">
        <f>AA61+Z61+Y61+X61+W61+V61+U61+T61+S61+R61+Q61+P61</f>
        <v>10552.5356</v>
      </c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95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95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95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95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95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95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95"/>
      <c r="DP61" s="53"/>
      <c r="DQ61" s="53"/>
      <c r="DR61" s="53"/>
      <c r="DS61" s="53"/>
      <c r="DT61" s="53"/>
      <c r="DU61" s="53"/>
      <c r="DV61" s="53"/>
      <c r="DW61" s="53"/>
      <c r="DX61" s="53"/>
      <c r="DY61" s="53"/>
      <c r="DZ61" s="53"/>
      <c r="EA61" s="53"/>
      <c r="EB61" s="95"/>
      <c r="EC61" s="53"/>
      <c r="ED61" s="53"/>
      <c r="EE61" s="53"/>
      <c r="EF61" s="53"/>
      <c r="EG61" s="53"/>
      <c r="EH61" s="53"/>
      <c r="EI61" s="53"/>
      <c r="EJ61" s="53"/>
      <c r="EK61" s="53"/>
      <c r="EL61" s="53"/>
      <c r="EM61" s="53"/>
      <c r="EN61" s="53"/>
      <c r="EO61" s="95"/>
      <c r="EP61" s="53"/>
      <c r="EQ61" s="53"/>
      <c r="ER61" s="53"/>
      <c r="ES61" s="53"/>
      <c r="ET61" s="53"/>
      <c r="EU61" s="53"/>
      <c r="EV61" s="53"/>
      <c r="EW61" s="53"/>
      <c r="EX61" s="53"/>
      <c r="EY61" s="53"/>
      <c r="EZ61" s="53"/>
      <c r="FA61" s="53"/>
      <c r="FB61" s="95"/>
      <c r="FC61" s="53"/>
      <c r="FD61" s="53"/>
      <c r="FE61" s="53"/>
      <c r="FF61" s="53"/>
      <c r="FG61" s="53"/>
      <c r="FH61" s="53"/>
      <c r="FI61" s="53"/>
      <c r="FJ61" s="53"/>
      <c r="FK61" s="53"/>
      <c r="FL61" s="53"/>
      <c r="FM61" s="53"/>
      <c r="FN61" s="53"/>
      <c r="FO61" s="93"/>
      <c r="FP61" s="53"/>
      <c r="FQ61" s="53"/>
      <c r="FR61" s="53"/>
      <c r="FS61" s="53"/>
      <c r="FT61" s="53"/>
      <c r="FU61" s="53"/>
      <c r="FV61" s="53"/>
      <c r="FW61" s="53"/>
      <c r="FX61" s="53"/>
      <c r="FY61" s="53"/>
      <c r="FZ61" s="53"/>
      <c r="GA61" s="53"/>
      <c r="GB61" s="93"/>
      <c r="GC61" s="54"/>
      <c r="GD61" s="53"/>
      <c r="GE61" s="53"/>
      <c r="GF61" s="53"/>
      <c r="GG61" s="53"/>
      <c r="GH61" s="53"/>
      <c r="GI61" s="53"/>
      <c r="GJ61" s="53"/>
      <c r="GK61" s="53"/>
      <c r="GL61" s="53"/>
      <c r="GM61" s="53"/>
      <c r="GN61" s="53"/>
      <c r="GO61" s="95"/>
      <c r="GP61" s="53"/>
      <c r="GQ61" s="53"/>
      <c r="GR61" s="53"/>
      <c r="GS61" s="53"/>
      <c r="GT61" s="53"/>
      <c r="GU61" s="53"/>
      <c r="GV61" s="53"/>
      <c r="GW61" s="53"/>
      <c r="GX61" s="53"/>
      <c r="GY61" s="53"/>
      <c r="GZ61" s="53"/>
      <c r="HA61" s="53"/>
      <c r="HB61" s="95"/>
      <c r="HC61" s="49">
        <f t="shared" si="112"/>
        <v>21105.5356</v>
      </c>
      <c r="HD61" s="53"/>
      <c r="HE61" s="53"/>
      <c r="HF61" s="53"/>
      <c r="HG61" s="53"/>
      <c r="HH61" s="53"/>
      <c r="HI61" s="53"/>
      <c r="HJ61" s="53"/>
      <c r="HK61" s="53"/>
      <c r="HL61" s="53"/>
      <c r="HM61" s="53"/>
      <c r="HN61" s="53"/>
      <c r="HO61" s="95"/>
      <c r="HP61" s="53"/>
      <c r="HQ61" s="53"/>
      <c r="HR61" s="53"/>
      <c r="HS61" s="53"/>
      <c r="HT61" s="53"/>
      <c r="HU61" s="53"/>
      <c r="HV61" s="53"/>
      <c r="HW61" s="53"/>
      <c r="HX61" s="53"/>
      <c r="HY61" s="53"/>
      <c r="HZ61" s="53"/>
      <c r="IA61" s="53"/>
      <c r="IB61" s="95"/>
      <c r="IC61" s="53"/>
      <c r="ID61" s="53"/>
      <c r="IE61" s="53"/>
      <c r="IF61" s="53"/>
      <c r="IG61" s="53"/>
      <c r="IH61" s="53"/>
      <c r="II61" s="53"/>
      <c r="IJ61" s="53"/>
      <c r="IK61" s="53"/>
      <c r="IL61" s="53"/>
      <c r="IM61" s="53"/>
      <c r="IN61" s="53"/>
      <c r="IO61" s="95"/>
      <c r="IP61" s="53"/>
      <c r="IQ61" s="53"/>
      <c r="IR61" s="53"/>
      <c r="IS61" s="53"/>
      <c r="IT61" s="53"/>
      <c r="IU61" s="53"/>
      <c r="IV61" s="53"/>
    </row>
    <row r="62" spans="1:256" s="56" customFormat="1" ht="14.25" outlineLevel="2">
      <c r="A62" s="48"/>
      <c r="B62" s="100" t="s">
        <v>472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93"/>
      <c r="P62" s="53"/>
      <c r="Q62" s="53"/>
      <c r="R62" s="53"/>
      <c r="S62" s="53"/>
      <c r="T62" s="53"/>
      <c r="U62" s="53"/>
      <c r="V62" s="53"/>
      <c r="W62" s="53"/>
      <c r="X62" s="53">
        <v>51783.85424</v>
      </c>
      <c r="Y62" s="53"/>
      <c r="Z62" s="53"/>
      <c r="AA62" s="53"/>
      <c r="AB62" s="93">
        <f>AA62+Z62+Y62+X62+W62+V62+U62+T62+S62+R62+Q62+P62</f>
        <v>51783.85424</v>
      </c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9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9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9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9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9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9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93"/>
      <c r="DP62" s="53"/>
      <c r="DQ62" s="53"/>
      <c r="DR62" s="53"/>
      <c r="DS62" s="53"/>
      <c r="DT62" s="53"/>
      <c r="DU62" s="53"/>
      <c r="DV62" s="53"/>
      <c r="DW62" s="53"/>
      <c r="DX62" s="53"/>
      <c r="DY62" s="53"/>
      <c r="DZ62" s="53"/>
      <c r="EA62" s="53"/>
      <c r="EB62" s="93"/>
      <c r="EC62" s="53"/>
      <c r="ED62" s="53"/>
      <c r="EE62" s="53"/>
      <c r="EF62" s="53"/>
      <c r="EG62" s="53"/>
      <c r="EH62" s="53"/>
      <c r="EI62" s="53"/>
      <c r="EJ62" s="53"/>
      <c r="EK62" s="53"/>
      <c r="EL62" s="53"/>
      <c r="EM62" s="53"/>
      <c r="EN62" s="53"/>
      <c r="EO62" s="93"/>
      <c r="EP62" s="53"/>
      <c r="EQ62" s="53"/>
      <c r="ER62" s="53"/>
      <c r="ES62" s="53"/>
      <c r="ET62" s="53"/>
      <c r="EU62" s="53"/>
      <c r="EV62" s="53"/>
      <c r="EW62" s="53"/>
      <c r="EX62" s="53"/>
      <c r="EY62" s="53"/>
      <c r="EZ62" s="53"/>
      <c r="FA62" s="53"/>
      <c r="FB62" s="93"/>
      <c r="FC62" s="53"/>
      <c r="FD62" s="53"/>
      <c r="FE62" s="53"/>
      <c r="FF62" s="53"/>
      <c r="FG62" s="53"/>
      <c r="FH62" s="53"/>
      <c r="FI62" s="53"/>
      <c r="FJ62" s="53"/>
      <c r="FK62" s="53"/>
      <c r="FL62" s="53"/>
      <c r="FM62" s="53"/>
      <c r="FN62" s="53"/>
      <c r="FO62" s="93"/>
      <c r="FP62" s="53"/>
      <c r="FQ62" s="53"/>
      <c r="FR62" s="53"/>
      <c r="FS62" s="53"/>
      <c r="FT62" s="53"/>
      <c r="FU62" s="53"/>
      <c r="FV62" s="53"/>
      <c r="FW62" s="53"/>
      <c r="FX62" s="53"/>
      <c r="FY62" s="53"/>
      <c r="FZ62" s="53"/>
      <c r="GA62" s="53"/>
      <c r="GB62" s="93"/>
      <c r="GC62" s="54"/>
      <c r="GD62" s="53"/>
      <c r="GE62" s="53"/>
      <c r="GF62" s="53"/>
      <c r="GG62" s="53"/>
      <c r="GH62" s="53"/>
      <c r="GI62" s="53"/>
      <c r="GJ62" s="53"/>
      <c r="GK62" s="53"/>
      <c r="GL62" s="53"/>
      <c r="GM62" s="53"/>
      <c r="GN62" s="53"/>
      <c r="GO62" s="93"/>
      <c r="GP62" s="53"/>
      <c r="GQ62" s="53"/>
      <c r="GR62" s="53"/>
      <c r="GS62" s="53"/>
      <c r="GT62" s="53"/>
      <c r="GU62" s="53"/>
      <c r="GV62" s="53"/>
      <c r="GW62" s="53"/>
      <c r="GX62" s="53"/>
      <c r="GY62" s="53"/>
      <c r="GZ62" s="53"/>
      <c r="HA62" s="53"/>
      <c r="HB62" s="93"/>
      <c r="HC62" s="49">
        <f t="shared" si="112"/>
        <v>51783.85424</v>
      </c>
      <c r="HD62" s="53"/>
      <c r="HE62" s="53"/>
      <c r="HF62" s="53"/>
      <c r="HG62" s="53"/>
      <c r="HH62" s="53"/>
      <c r="HI62" s="53"/>
      <c r="HJ62" s="53"/>
      <c r="HK62" s="53"/>
      <c r="HL62" s="53"/>
      <c r="HM62" s="53"/>
      <c r="HN62" s="53"/>
      <c r="HO62" s="93"/>
      <c r="HP62" s="53"/>
      <c r="HQ62" s="53"/>
      <c r="HR62" s="53"/>
      <c r="HS62" s="53"/>
      <c r="HT62" s="53"/>
      <c r="HU62" s="53"/>
      <c r="HV62" s="53"/>
      <c r="HW62" s="53"/>
      <c r="HX62" s="53"/>
      <c r="HY62" s="53"/>
      <c r="HZ62" s="53"/>
      <c r="IA62" s="53"/>
      <c r="IB62" s="93"/>
      <c r="IC62" s="53"/>
      <c r="ID62" s="53"/>
      <c r="IE62" s="53"/>
      <c r="IF62" s="53"/>
      <c r="IG62" s="53"/>
      <c r="IH62" s="53"/>
      <c r="II62" s="53"/>
      <c r="IJ62" s="53"/>
      <c r="IK62" s="53"/>
      <c r="IL62" s="53"/>
      <c r="IM62" s="53"/>
      <c r="IN62" s="53"/>
      <c r="IO62" s="93"/>
      <c r="IP62" s="53"/>
      <c r="IQ62" s="53"/>
      <c r="IR62" s="53"/>
      <c r="IS62" s="53"/>
      <c r="IT62" s="53"/>
      <c r="IU62" s="53"/>
      <c r="IV62" s="53"/>
    </row>
    <row r="63" spans="1:256" s="56" customFormat="1" ht="14.25" outlineLevel="2">
      <c r="A63" s="48"/>
      <c r="B63" s="100" t="s">
        <v>473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9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93"/>
      <c r="AC63" s="53"/>
      <c r="AD63" s="53"/>
      <c r="AE63" s="53"/>
      <c r="AF63" s="53"/>
      <c r="AG63" s="53"/>
      <c r="AH63" s="53"/>
      <c r="AI63" s="53"/>
      <c r="AJ63" s="53">
        <v>51783.85424</v>
      </c>
      <c r="AK63" s="53"/>
      <c r="AL63" s="53"/>
      <c r="AM63" s="53"/>
      <c r="AN63" s="53"/>
      <c r="AO63" s="93">
        <f>AN63+AM63+AL63+AK63+AJ63+AI63+AH63+AG63+AF63+AE63+AD63+AC63</f>
        <v>51783.85424</v>
      </c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9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9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9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9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9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93"/>
      <c r="DP63" s="53"/>
      <c r="DQ63" s="53"/>
      <c r="DR63" s="53"/>
      <c r="DS63" s="53"/>
      <c r="DT63" s="53"/>
      <c r="DU63" s="53"/>
      <c r="DV63" s="53"/>
      <c r="DW63" s="53"/>
      <c r="DX63" s="53"/>
      <c r="DY63" s="53"/>
      <c r="DZ63" s="53"/>
      <c r="EA63" s="53"/>
      <c r="EB63" s="93"/>
      <c r="EC63" s="53"/>
      <c r="ED63" s="53"/>
      <c r="EE63" s="53"/>
      <c r="EF63" s="53"/>
      <c r="EG63" s="53"/>
      <c r="EH63" s="53"/>
      <c r="EI63" s="53"/>
      <c r="EJ63" s="53"/>
      <c r="EK63" s="53"/>
      <c r="EL63" s="53"/>
      <c r="EM63" s="53"/>
      <c r="EN63" s="53"/>
      <c r="EO63" s="93"/>
      <c r="EP63" s="53"/>
      <c r="EQ63" s="53"/>
      <c r="ER63" s="53"/>
      <c r="ES63" s="53"/>
      <c r="ET63" s="53"/>
      <c r="EU63" s="53"/>
      <c r="EV63" s="53"/>
      <c r="EW63" s="53"/>
      <c r="EX63" s="53"/>
      <c r="EY63" s="53"/>
      <c r="EZ63" s="53"/>
      <c r="FA63" s="53"/>
      <c r="FB63" s="93"/>
      <c r="FC63" s="53"/>
      <c r="FD63" s="53"/>
      <c r="FE63" s="53"/>
      <c r="FF63" s="53"/>
      <c r="FG63" s="53"/>
      <c r="FH63" s="53"/>
      <c r="FI63" s="53"/>
      <c r="FJ63" s="53"/>
      <c r="FK63" s="53"/>
      <c r="FL63" s="53"/>
      <c r="FM63" s="53"/>
      <c r="FN63" s="53"/>
      <c r="FO63" s="93"/>
      <c r="FP63" s="53"/>
      <c r="FQ63" s="53"/>
      <c r="FR63" s="53"/>
      <c r="FS63" s="53"/>
      <c r="FT63" s="53"/>
      <c r="FU63" s="53"/>
      <c r="FV63" s="53"/>
      <c r="FW63" s="53"/>
      <c r="FX63" s="53"/>
      <c r="FY63" s="53"/>
      <c r="FZ63" s="53"/>
      <c r="GA63" s="53"/>
      <c r="GB63" s="93"/>
      <c r="GC63" s="54"/>
      <c r="GD63" s="53"/>
      <c r="GE63" s="53"/>
      <c r="GF63" s="53"/>
      <c r="GG63" s="53"/>
      <c r="GH63" s="53"/>
      <c r="GI63" s="53"/>
      <c r="GJ63" s="53"/>
      <c r="GK63" s="53"/>
      <c r="GL63" s="53"/>
      <c r="GM63" s="53"/>
      <c r="GN63" s="53"/>
      <c r="GO63" s="93"/>
      <c r="GP63" s="53"/>
      <c r="GQ63" s="53"/>
      <c r="GR63" s="53"/>
      <c r="GS63" s="53"/>
      <c r="GT63" s="53"/>
      <c r="GU63" s="53"/>
      <c r="GV63" s="53"/>
      <c r="GW63" s="53"/>
      <c r="GX63" s="53"/>
      <c r="GY63" s="53"/>
      <c r="GZ63" s="53"/>
      <c r="HA63" s="53"/>
      <c r="HB63" s="93"/>
      <c r="HC63" s="49">
        <f t="shared" si="112"/>
        <v>51783.85424</v>
      </c>
      <c r="HD63" s="53"/>
      <c r="HE63" s="53"/>
      <c r="HF63" s="53"/>
      <c r="HG63" s="53"/>
      <c r="HH63" s="53"/>
      <c r="HI63" s="53"/>
      <c r="HJ63" s="53"/>
      <c r="HK63" s="53"/>
      <c r="HL63" s="53"/>
      <c r="HM63" s="53"/>
      <c r="HN63" s="53"/>
      <c r="HO63" s="93"/>
      <c r="HP63" s="53"/>
      <c r="HQ63" s="53"/>
      <c r="HR63" s="53"/>
      <c r="HS63" s="53"/>
      <c r="HT63" s="53"/>
      <c r="HU63" s="53"/>
      <c r="HV63" s="53"/>
      <c r="HW63" s="53"/>
      <c r="HX63" s="53"/>
      <c r="HY63" s="53"/>
      <c r="HZ63" s="53"/>
      <c r="IA63" s="53"/>
      <c r="IB63" s="93"/>
      <c r="IC63" s="53"/>
      <c r="ID63" s="53"/>
      <c r="IE63" s="53"/>
      <c r="IF63" s="53"/>
      <c r="IG63" s="53"/>
      <c r="IH63" s="53"/>
      <c r="II63" s="53"/>
      <c r="IJ63" s="53"/>
      <c r="IK63" s="53"/>
      <c r="IL63" s="53"/>
      <c r="IM63" s="53"/>
      <c r="IN63" s="53"/>
      <c r="IO63" s="93"/>
      <c r="IP63" s="53"/>
      <c r="IQ63" s="53"/>
      <c r="IR63" s="53"/>
      <c r="IS63" s="53"/>
      <c r="IT63" s="53"/>
      <c r="IU63" s="53"/>
      <c r="IV63" s="53"/>
    </row>
    <row r="64" spans="2:256" ht="14.25" outlineLevel="2">
      <c r="B64" s="100" t="s">
        <v>474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93"/>
      <c r="P64" s="53"/>
      <c r="Q64" s="53"/>
      <c r="R64" s="53"/>
      <c r="S64" s="53"/>
      <c r="T64" s="53"/>
      <c r="U64" s="53"/>
      <c r="V64" s="53"/>
      <c r="W64" s="53"/>
      <c r="X64" s="53">
        <v>15023.38983</v>
      </c>
      <c r="Y64" s="53"/>
      <c r="Z64" s="53"/>
      <c r="AA64" s="53"/>
      <c r="AB64" s="93">
        <f>AA64+Z64+Y64+X64+W64+V64+U64+T64+S64+R64+Q64+P64</f>
        <v>15023.38983</v>
      </c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9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9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9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9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9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9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93"/>
      <c r="DP64" s="53"/>
      <c r="DQ64" s="53"/>
      <c r="DR64" s="53"/>
      <c r="DS64" s="53"/>
      <c r="DT64" s="53"/>
      <c r="DU64" s="53"/>
      <c r="DV64" s="53"/>
      <c r="DW64" s="53"/>
      <c r="DX64" s="53"/>
      <c r="DY64" s="53"/>
      <c r="DZ64" s="53"/>
      <c r="EA64" s="53"/>
      <c r="EB64" s="9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9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93"/>
      <c r="FC64" s="53"/>
      <c r="FD64" s="53"/>
      <c r="FE64" s="53"/>
      <c r="FF64" s="53"/>
      <c r="FG64" s="53"/>
      <c r="FH64" s="53"/>
      <c r="FI64" s="53"/>
      <c r="FJ64" s="53"/>
      <c r="FK64" s="53"/>
      <c r="FL64" s="53"/>
      <c r="FM64" s="53"/>
      <c r="FN64" s="53"/>
      <c r="FO64" s="93"/>
      <c r="FP64" s="53"/>
      <c r="FQ64" s="53"/>
      <c r="FR64" s="53"/>
      <c r="FS64" s="53"/>
      <c r="FT64" s="53"/>
      <c r="FU64" s="53"/>
      <c r="FV64" s="53"/>
      <c r="FW64" s="53"/>
      <c r="FX64" s="53"/>
      <c r="FY64" s="53"/>
      <c r="FZ64" s="53"/>
      <c r="GA64" s="53"/>
      <c r="GB64" s="93"/>
      <c r="GC64" s="54"/>
      <c r="GD64" s="53"/>
      <c r="GE64" s="53"/>
      <c r="GF64" s="53"/>
      <c r="GG64" s="53"/>
      <c r="GH64" s="53"/>
      <c r="GI64" s="53"/>
      <c r="GJ64" s="53"/>
      <c r="GK64" s="53"/>
      <c r="GL64" s="53"/>
      <c r="GM64" s="53"/>
      <c r="GN64" s="53"/>
      <c r="GO64" s="93"/>
      <c r="GP64" s="53"/>
      <c r="GQ64" s="53"/>
      <c r="GR64" s="53"/>
      <c r="GS64" s="53"/>
      <c r="GT64" s="53"/>
      <c r="GU64" s="53"/>
      <c r="GV64" s="53"/>
      <c r="GW64" s="53"/>
      <c r="GX64" s="53"/>
      <c r="GY64" s="53"/>
      <c r="GZ64" s="53"/>
      <c r="HA64" s="53"/>
      <c r="HB64" s="93"/>
      <c r="HC64" s="49">
        <f t="shared" si="112"/>
        <v>15023.38983</v>
      </c>
      <c r="HD64" s="53"/>
      <c r="HE64" s="53"/>
      <c r="HF64" s="53"/>
      <c r="HG64" s="53"/>
      <c r="HH64" s="53"/>
      <c r="HI64" s="53"/>
      <c r="HJ64" s="53"/>
      <c r="HK64" s="53"/>
      <c r="HL64" s="53"/>
      <c r="HM64" s="53"/>
      <c r="HN64" s="53"/>
      <c r="HO64" s="93"/>
      <c r="HP64" s="53"/>
      <c r="HQ64" s="53"/>
      <c r="HR64" s="53"/>
      <c r="HS64" s="53"/>
      <c r="HT64" s="53"/>
      <c r="HU64" s="53"/>
      <c r="HV64" s="53"/>
      <c r="HW64" s="53"/>
      <c r="HX64" s="53"/>
      <c r="HY64" s="53"/>
      <c r="HZ64" s="53"/>
      <c r="IA64" s="53"/>
      <c r="IB64" s="93"/>
      <c r="IC64" s="53"/>
      <c r="ID64" s="53"/>
      <c r="IE64" s="53"/>
      <c r="IF64" s="53"/>
      <c r="IG64" s="53"/>
      <c r="IH64" s="53"/>
      <c r="II64" s="53"/>
      <c r="IJ64" s="53"/>
      <c r="IK64" s="53"/>
      <c r="IL64" s="53"/>
      <c r="IM64" s="53"/>
      <c r="IN64" s="53"/>
      <c r="IO64" s="93"/>
      <c r="IP64" s="53"/>
      <c r="IQ64" s="53"/>
      <c r="IR64" s="53"/>
      <c r="IS64" s="53"/>
      <c r="IT64" s="53"/>
      <c r="IU64" s="53"/>
      <c r="IV64" s="53"/>
    </row>
    <row r="65" spans="2:256" ht="14.25" outlineLevel="2">
      <c r="B65" s="100" t="s">
        <v>475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9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93"/>
      <c r="AC65" s="53"/>
      <c r="AD65" s="53"/>
      <c r="AE65" s="53"/>
      <c r="AF65" s="53"/>
      <c r="AG65" s="53"/>
      <c r="AH65" s="53"/>
      <c r="AI65" s="53"/>
      <c r="AJ65" s="53">
        <v>15023.389</v>
      </c>
      <c r="AK65" s="53"/>
      <c r="AL65" s="53"/>
      <c r="AM65" s="53"/>
      <c r="AN65" s="53"/>
      <c r="AO65" s="93">
        <f>AN65+AM65+AL65+AK65+AJ65+AI65+AH65+AG65+AF65+AE65+AD65+AC65</f>
        <v>15023.389</v>
      </c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9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9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9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9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9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93"/>
      <c r="DP65" s="53"/>
      <c r="DQ65" s="53"/>
      <c r="DR65" s="53"/>
      <c r="DS65" s="53"/>
      <c r="DT65" s="53"/>
      <c r="DU65" s="53"/>
      <c r="DV65" s="53"/>
      <c r="DW65" s="53"/>
      <c r="DX65" s="53"/>
      <c r="DY65" s="53"/>
      <c r="DZ65" s="53"/>
      <c r="EA65" s="53"/>
      <c r="EB65" s="93"/>
      <c r="EC65" s="53"/>
      <c r="ED65" s="53"/>
      <c r="EE65" s="53"/>
      <c r="EF65" s="53"/>
      <c r="EG65" s="53"/>
      <c r="EH65" s="53"/>
      <c r="EI65" s="53"/>
      <c r="EJ65" s="53"/>
      <c r="EK65" s="53"/>
      <c r="EL65" s="53"/>
      <c r="EM65" s="53"/>
      <c r="EN65" s="53"/>
      <c r="EO65" s="93"/>
      <c r="EP65" s="53"/>
      <c r="EQ65" s="53"/>
      <c r="ER65" s="53"/>
      <c r="ES65" s="53"/>
      <c r="ET65" s="53"/>
      <c r="EU65" s="53"/>
      <c r="EV65" s="53"/>
      <c r="EW65" s="53"/>
      <c r="EX65" s="53"/>
      <c r="EY65" s="53"/>
      <c r="EZ65" s="53"/>
      <c r="FA65" s="53"/>
      <c r="FB65" s="93"/>
      <c r="FC65" s="53"/>
      <c r="FD65" s="53"/>
      <c r="FE65" s="53"/>
      <c r="FF65" s="53"/>
      <c r="FG65" s="53"/>
      <c r="FH65" s="53"/>
      <c r="FI65" s="53"/>
      <c r="FJ65" s="53"/>
      <c r="FK65" s="53"/>
      <c r="FL65" s="53"/>
      <c r="FM65" s="53"/>
      <c r="FN65" s="53"/>
      <c r="FO65" s="93"/>
      <c r="FP65" s="53"/>
      <c r="FQ65" s="53"/>
      <c r="FR65" s="53"/>
      <c r="FS65" s="53"/>
      <c r="FT65" s="53"/>
      <c r="FU65" s="53"/>
      <c r="FV65" s="53"/>
      <c r="FW65" s="53"/>
      <c r="FX65" s="53"/>
      <c r="FY65" s="53"/>
      <c r="FZ65" s="53"/>
      <c r="GA65" s="53"/>
      <c r="GB65" s="93"/>
      <c r="GC65" s="54"/>
      <c r="GD65" s="53"/>
      <c r="GE65" s="53"/>
      <c r="GF65" s="53"/>
      <c r="GG65" s="53"/>
      <c r="GH65" s="53"/>
      <c r="GI65" s="53"/>
      <c r="GJ65" s="53"/>
      <c r="GK65" s="53"/>
      <c r="GL65" s="53"/>
      <c r="GM65" s="53"/>
      <c r="GN65" s="53"/>
      <c r="GO65" s="93"/>
      <c r="GP65" s="53"/>
      <c r="GQ65" s="53"/>
      <c r="GR65" s="53"/>
      <c r="GS65" s="53"/>
      <c r="GT65" s="53"/>
      <c r="GU65" s="53"/>
      <c r="GV65" s="53"/>
      <c r="GW65" s="53"/>
      <c r="GX65" s="53"/>
      <c r="GY65" s="53"/>
      <c r="GZ65" s="53"/>
      <c r="HA65" s="53"/>
      <c r="HB65" s="93"/>
      <c r="HC65" s="49">
        <f t="shared" si="112"/>
        <v>15023.389</v>
      </c>
      <c r="HD65" s="53"/>
      <c r="HE65" s="53"/>
      <c r="HF65" s="53"/>
      <c r="HG65" s="53"/>
      <c r="HH65" s="53"/>
      <c r="HI65" s="53"/>
      <c r="HJ65" s="53"/>
      <c r="HK65" s="53"/>
      <c r="HL65" s="53"/>
      <c r="HM65" s="53"/>
      <c r="HN65" s="53"/>
      <c r="HO65" s="93"/>
      <c r="HP65" s="53"/>
      <c r="HQ65" s="53"/>
      <c r="HR65" s="53"/>
      <c r="HS65" s="53"/>
      <c r="HT65" s="53"/>
      <c r="HU65" s="53"/>
      <c r="HV65" s="53"/>
      <c r="HW65" s="53"/>
      <c r="HX65" s="53"/>
      <c r="HY65" s="53"/>
      <c r="HZ65" s="53"/>
      <c r="IA65" s="53"/>
      <c r="IB65" s="93"/>
      <c r="IC65" s="53"/>
      <c r="ID65" s="53"/>
      <c r="IE65" s="53"/>
      <c r="IF65" s="53"/>
      <c r="IG65" s="53"/>
      <c r="IH65" s="53"/>
      <c r="II65" s="53"/>
      <c r="IJ65" s="53"/>
      <c r="IK65" s="53"/>
      <c r="IL65" s="53"/>
      <c r="IM65" s="53"/>
      <c r="IN65" s="53"/>
      <c r="IO65" s="93"/>
      <c r="IP65" s="53"/>
      <c r="IQ65" s="53"/>
      <c r="IR65" s="53"/>
      <c r="IS65" s="53"/>
      <c r="IT65" s="53"/>
      <c r="IU65" s="53"/>
      <c r="IV65" s="53"/>
    </row>
    <row r="66" spans="1:256" s="56" customFormat="1" ht="14.25" outlineLevel="2">
      <c r="A66" s="48"/>
      <c r="B66" s="100" t="s">
        <v>476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9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93"/>
      <c r="AC66" s="53"/>
      <c r="AD66" s="53"/>
      <c r="AE66" s="53"/>
      <c r="AF66" s="53"/>
      <c r="AG66" s="53"/>
      <c r="AH66" s="53"/>
      <c r="AI66" s="53"/>
      <c r="AJ66" s="53"/>
      <c r="AK66" s="53">
        <v>86857.4339</v>
      </c>
      <c r="AL66" s="53"/>
      <c r="AM66" s="53"/>
      <c r="AN66" s="53"/>
      <c r="AO66" s="93">
        <f>AN66+AM66+AL66+AK66+AJ66+AI66+AH66+AG66+AF66+AE66+AD66+AC66</f>
        <v>86857.4339</v>
      </c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9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9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9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9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9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93"/>
      <c r="DP66" s="53"/>
      <c r="DQ66" s="53"/>
      <c r="DR66" s="53"/>
      <c r="DS66" s="53"/>
      <c r="DT66" s="53"/>
      <c r="DU66" s="53"/>
      <c r="DV66" s="53"/>
      <c r="DW66" s="53"/>
      <c r="DX66" s="53"/>
      <c r="DY66" s="53"/>
      <c r="DZ66" s="53"/>
      <c r="EA66" s="53"/>
      <c r="EB66" s="93"/>
      <c r="EC66" s="53"/>
      <c r="ED66" s="53"/>
      <c r="EE66" s="53"/>
      <c r="EF66" s="53"/>
      <c r="EG66" s="53"/>
      <c r="EH66" s="53"/>
      <c r="EI66" s="53"/>
      <c r="EJ66" s="53"/>
      <c r="EK66" s="53"/>
      <c r="EL66" s="53"/>
      <c r="EM66" s="53"/>
      <c r="EN66" s="53"/>
      <c r="EO66" s="93"/>
      <c r="EP66" s="53"/>
      <c r="EQ66" s="53"/>
      <c r="ER66" s="53"/>
      <c r="ES66" s="53"/>
      <c r="ET66" s="53"/>
      <c r="EU66" s="53"/>
      <c r="EV66" s="53"/>
      <c r="EW66" s="53"/>
      <c r="EX66" s="53"/>
      <c r="EY66" s="53"/>
      <c r="EZ66" s="53"/>
      <c r="FA66" s="53"/>
      <c r="FB66" s="93"/>
      <c r="FC66" s="53"/>
      <c r="FD66" s="53"/>
      <c r="FE66" s="53"/>
      <c r="FF66" s="53"/>
      <c r="FG66" s="53"/>
      <c r="FH66" s="53"/>
      <c r="FI66" s="53"/>
      <c r="FJ66" s="53"/>
      <c r="FK66" s="53"/>
      <c r="FL66" s="53"/>
      <c r="FM66" s="53"/>
      <c r="FN66" s="53"/>
      <c r="FO66" s="93"/>
      <c r="FP66" s="53"/>
      <c r="FQ66" s="53"/>
      <c r="FR66" s="53"/>
      <c r="FS66" s="53"/>
      <c r="FT66" s="53"/>
      <c r="FU66" s="53"/>
      <c r="FV66" s="53"/>
      <c r="FW66" s="53"/>
      <c r="FX66" s="53"/>
      <c r="FY66" s="53"/>
      <c r="FZ66" s="53"/>
      <c r="GA66" s="53"/>
      <c r="GB66" s="93"/>
      <c r="GC66" s="54"/>
      <c r="GD66" s="53"/>
      <c r="GE66" s="53"/>
      <c r="GF66" s="53"/>
      <c r="GG66" s="53"/>
      <c r="GH66" s="53"/>
      <c r="GI66" s="53"/>
      <c r="GJ66" s="53"/>
      <c r="GK66" s="53"/>
      <c r="GL66" s="53"/>
      <c r="GM66" s="53"/>
      <c r="GN66" s="53"/>
      <c r="GO66" s="93"/>
      <c r="GP66" s="53"/>
      <c r="GQ66" s="53"/>
      <c r="GR66" s="53"/>
      <c r="GS66" s="53"/>
      <c r="GT66" s="53"/>
      <c r="GU66" s="53"/>
      <c r="GV66" s="53"/>
      <c r="GW66" s="53"/>
      <c r="GX66" s="53"/>
      <c r="GY66" s="53"/>
      <c r="GZ66" s="53"/>
      <c r="HA66" s="53"/>
      <c r="HB66" s="93"/>
      <c r="HC66" s="49">
        <f t="shared" si="112"/>
        <v>86857.4339</v>
      </c>
      <c r="HD66" s="53"/>
      <c r="HE66" s="53"/>
      <c r="HF66" s="53"/>
      <c r="HG66" s="53"/>
      <c r="HH66" s="53"/>
      <c r="HI66" s="53"/>
      <c r="HJ66" s="53"/>
      <c r="HK66" s="53"/>
      <c r="HL66" s="53"/>
      <c r="HM66" s="53"/>
      <c r="HN66" s="53"/>
      <c r="HO66" s="93"/>
      <c r="HP66" s="53"/>
      <c r="HQ66" s="53"/>
      <c r="HR66" s="53"/>
      <c r="HS66" s="53"/>
      <c r="HT66" s="53"/>
      <c r="HU66" s="53"/>
      <c r="HV66" s="53"/>
      <c r="HW66" s="53"/>
      <c r="HX66" s="53"/>
      <c r="HY66" s="53"/>
      <c r="HZ66" s="53"/>
      <c r="IA66" s="53"/>
      <c r="IB66" s="93"/>
      <c r="IC66" s="53"/>
      <c r="ID66" s="53"/>
      <c r="IE66" s="53"/>
      <c r="IF66" s="53"/>
      <c r="IG66" s="53"/>
      <c r="IH66" s="53"/>
      <c r="II66" s="53"/>
      <c r="IJ66" s="53"/>
      <c r="IK66" s="53"/>
      <c r="IL66" s="53"/>
      <c r="IM66" s="53"/>
      <c r="IN66" s="53"/>
      <c r="IO66" s="93"/>
      <c r="IP66" s="53"/>
      <c r="IQ66" s="53"/>
      <c r="IR66" s="53"/>
      <c r="IS66" s="53"/>
      <c r="IT66" s="53"/>
      <c r="IU66" s="53"/>
      <c r="IV66" s="53"/>
    </row>
    <row r="67" spans="1:256" s="56" customFormat="1" ht="14.25" outlineLevel="2">
      <c r="A67" s="48"/>
      <c r="B67" s="100" t="s">
        <v>477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9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9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93"/>
      <c r="AP67" s="53"/>
      <c r="AQ67" s="53"/>
      <c r="AR67" s="53"/>
      <c r="AS67" s="53"/>
      <c r="AT67" s="53"/>
      <c r="AU67" s="53"/>
      <c r="AV67" s="53"/>
      <c r="AW67" s="53">
        <v>86857.4339</v>
      </c>
      <c r="AX67" s="53"/>
      <c r="AY67" s="53"/>
      <c r="AZ67" s="53"/>
      <c r="BA67" s="53"/>
      <c r="BB67" s="93">
        <f>BA67+AZ67+AY67+AX67+AW67+AV67+AU67+AT67+AS67+AR67+AQ67+AP67</f>
        <v>86857.4339</v>
      </c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9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9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9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9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93"/>
      <c r="DP67" s="53"/>
      <c r="DQ67" s="53"/>
      <c r="DR67" s="53"/>
      <c r="DS67" s="53"/>
      <c r="DT67" s="53"/>
      <c r="DU67" s="53"/>
      <c r="DV67" s="53"/>
      <c r="DW67" s="53"/>
      <c r="DX67" s="53"/>
      <c r="DY67" s="53"/>
      <c r="DZ67" s="53"/>
      <c r="EA67" s="53"/>
      <c r="EB67" s="93"/>
      <c r="EC67" s="53"/>
      <c r="ED67" s="53"/>
      <c r="EE67" s="53"/>
      <c r="EF67" s="53"/>
      <c r="EG67" s="53"/>
      <c r="EH67" s="53"/>
      <c r="EI67" s="53"/>
      <c r="EJ67" s="53"/>
      <c r="EK67" s="53"/>
      <c r="EL67" s="53"/>
      <c r="EM67" s="53"/>
      <c r="EN67" s="53"/>
      <c r="EO67" s="93"/>
      <c r="EP67" s="53"/>
      <c r="EQ67" s="53"/>
      <c r="ER67" s="53"/>
      <c r="ES67" s="53"/>
      <c r="ET67" s="53"/>
      <c r="EU67" s="53"/>
      <c r="EV67" s="53"/>
      <c r="EW67" s="53"/>
      <c r="EX67" s="53"/>
      <c r="EY67" s="53"/>
      <c r="EZ67" s="53"/>
      <c r="FA67" s="53"/>
      <c r="FB67" s="93"/>
      <c r="FC67" s="53"/>
      <c r="FD67" s="53"/>
      <c r="FE67" s="53"/>
      <c r="FF67" s="53"/>
      <c r="FG67" s="53"/>
      <c r="FH67" s="53"/>
      <c r="FI67" s="53"/>
      <c r="FJ67" s="53"/>
      <c r="FK67" s="53"/>
      <c r="FL67" s="53"/>
      <c r="FM67" s="53"/>
      <c r="FN67" s="53"/>
      <c r="FO67" s="93"/>
      <c r="FP67" s="53"/>
      <c r="FQ67" s="53"/>
      <c r="FR67" s="53"/>
      <c r="FS67" s="53"/>
      <c r="FT67" s="53"/>
      <c r="FU67" s="53"/>
      <c r="FV67" s="53"/>
      <c r="FW67" s="53"/>
      <c r="FX67" s="53"/>
      <c r="FY67" s="53"/>
      <c r="FZ67" s="53"/>
      <c r="GA67" s="53"/>
      <c r="GB67" s="93"/>
      <c r="GC67" s="54"/>
      <c r="GD67" s="53"/>
      <c r="GE67" s="53"/>
      <c r="GF67" s="53"/>
      <c r="GG67" s="53"/>
      <c r="GH67" s="53"/>
      <c r="GI67" s="53"/>
      <c r="GJ67" s="53"/>
      <c r="GK67" s="53"/>
      <c r="GL67" s="53"/>
      <c r="GM67" s="53"/>
      <c r="GN67" s="53"/>
      <c r="GO67" s="93"/>
      <c r="GP67" s="53"/>
      <c r="GQ67" s="53"/>
      <c r="GR67" s="53"/>
      <c r="GS67" s="53"/>
      <c r="GT67" s="53"/>
      <c r="GU67" s="53"/>
      <c r="GV67" s="53"/>
      <c r="GW67" s="53"/>
      <c r="GX67" s="53"/>
      <c r="GY67" s="53"/>
      <c r="GZ67" s="53"/>
      <c r="HA67" s="53"/>
      <c r="HB67" s="93"/>
      <c r="HC67" s="49">
        <f t="shared" si="112"/>
        <v>86857.4339</v>
      </c>
      <c r="HD67" s="53"/>
      <c r="HE67" s="53"/>
      <c r="HF67" s="53"/>
      <c r="HG67" s="53"/>
      <c r="HH67" s="53"/>
      <c r="HI67" s="53"/>
      <c r="HJ67" s="53"/>
      <c r="HK67" s="53"/>
      <c r="HL67" s="53"/>
      <c r="HM67" s="53"/>
      <c r="HN67" s="53"/>
      <c r="HO67" s="93"/>
      <c r="HP67" s="53"/>
      <c r="HQ67" s="53"/>
      <c r="HR67" s="53"/>
      <c r="HS67" s="53"/>
      <c r="HT67" s="53"/>
      <c r="HU67" s="53"/>
      <c r="HV67" s="53"/>
      <c r="HW67" s="53"/>
      <c r="HX67" s="53"/>
      <c r="HY67" s="53"/>
      <c r="HZ67" s="53"/>
      <c r="IA67" s="53"/>
      <c r="IB67" s="93"/>
      <c r="IC67" s="53"/>
      <c r="ID67" s="53"/>
      <c r="IE67" s="53"/>
      <c r="IF67" s="53"/>
      <c r="IG67" s="53"/>
      <c r="IH67" s="53"/>
      <c r="II67" s="53"/>
      <c r="IJ67" s="53"/>
      <c r="IK67" s="53"/>
      <c r="IL67" s="53"/>
      <c r="IM67" s="53"/>
      <c r="IN67" s="53"/>
      <c r="IO67" s="93"/>
      <c r="IP67" s="53"/>
      <c r="IQ67" s="53"/>
      <c r="IR67" s="53"/>
      <c r="IS67" s="53"/>
      <c r="IT67" s="53"/>
      <c r="IU67" s="53"/>
      <c r="IV67" s="53"/>
    </row>
    <row r="68" spans="2:256" ht="14.25" outlineLevel="2">
      <c r="B68" s="100" t="s">
        <v>478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9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93"/>
      <c r="AC68" s="53"/>
      <c r="AD68" s="53"/>
      <c r="AE68" s="53"/>
      <c r="AF68" s="53"/>
      <c r="AG68" s="53"/>
      <c r="AH68" s="53"/>
      <c r="AI68" s="53"/>
      <c r="AJ68" s="53"/>
      <c r="AK68" s="53">
        <v>19892.54238</v>
      </c>
      <c r="AL68" s="53"/>
      <c r="AM68" s="53"/>
      <c r="AN68" s="53"/>
      <c r="AO68" s="93">
        <f>AN68+AM68+AL68+AK68+AJ68+AI68+AH68+AG68+AF68+AE68+AD68+AC68</f>
        <v>19892.54238</v>
      </c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9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9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9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9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9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93"/>
      <c r="DP68" s="53"/>
      <c r="DQ68" s="53"/>
      <c r="DR68" s="53"/>
      <c r="DS68" s="53"/>
      <c r="DT68" s="53"/>
      <c r="DU68" s="53"/>
      <c r="DV68" s="53"/>
      <c r="DW68" s="53"/>
      <c r="DX68" s="53"/>
      <c r="DY68" s="53"/>
      <c r="DZ68" s="53"/>
      <c r="EA68" s="53"/>
      <c r="EB68" s="93"/>
      <c r="EC68" s="53"/>
      <c r="ED68" s="53"/>
      <c r="EE68" s="53"/>
      <c r="EF68" s="53"/>
      <c r="EG68" s="53"/>
      <c r="EH68" s="53"/>
      <c r="EI68" s="53"/>
      <c r="EJ68" s="53"/>
      <c r="EK68" s="53"/>
      <c r="EL68" s="53"/>
      <c r="EM68" s="53"/>
      <c r="EN68" s="53"/>
      <c r="EO68" s="93"/>
      <c r="EP68" s="53"/>
      <c r="EQ68" s="53"/>
      <c r="ER68" s="53"/>
      <c r="ES68" s="53"/>
      <c r="ET68" s="53"/>
      <c r="EU68" s="53"/>
      <c r="EV68" s="53"/>
      <c r="EW68" s="53"/>
      <c r="EX68" s="53"/>
      <c r="EY68" s="53"/>
      <c r="EZ68" s="53"/>
      <c r="FA68" s="53"/>
      <c r="FB68" s="93"/>
      <c r="FC68" s="53"/>
      <c r="FD68" s="53"/>
      <c r="FE68" s="53"/>
      <c r="FF68" s="53"/>
      <c r="FG68" s="53"/>
      <c r="FH68" s="53"/>
      <c r="FI68" s="53"/>
      <c r="FJ68" s="53"/>
      <c r="FK68" s="53"/>
      <c r="FL68" s="53"/>
      <c r="FM68" s="53"/>
      <c r="FN68" s="53"/>
      <c r="FO68" s="93"/>
      <c r="FP68" s="53"/>
      <c r="FQ68" s="53"/>
      <c r="FR68" s="53"/>
      <c r="FS68" s="53"/>
      <c r="FT68" s="53"/>
      <c r="FU68" s="53"/>
      <c r="FV68" s="53"/>
      <c r="FW68" s="53"/>
      <c r="FX68" s="53"/>
      <c r="FY68" s="53"/>
      <c r="FZ68" s="53"/>
      <c r="GA68" s="53"/>
      <c r="GB68" s="93"/>
      <c r="GC68" s="54"/>
      <c r="GD68" s="53"/>
      <c r="GE68" s="53"/>
      <c r="GF68" s="53"/>
      <c r="GG68" s="53"/>
      <c r="GH68" s="53"/>
      <c r="GI68" s="53"/>
      <c r="GJ68" s="53"/>
      <c r="GK68" s="53"/>
      <c r="GL68" s="53"/>
      <c r="GM68" s="53"/>
      <c r="GN68" s="53"/>
      <c r="GO68" s="93"/>
      <c r="GP68" s="53"/>
      <c r="GQ68" s="53"/>
      <c r="GR68" s="53"/>
      <c r="GS68" s="53"/>
      <c r="GT68" s="53"/>
      <c r="GU68" s="53"/>
      <c r="GV68" s="53"/>
      <c r="GW68" s="53"/>
      <c r="GX68" s="53"/>
      <c r="GY68" s="53"/>
      <c r="GZ68" s="53"/>
      <c r="HA68" s="53"/>
      <c r="HB68" s="93"/>
      <c r="HC68" s="49">
        <f t="shared" si="112"/>
        <v>19892.54238</v>
      </c>
      <c r="HD68" s="53"/>
      <c r="HE68" s="53"/>
      <c r="HF68" s="53"/>
      <c r="HG68" s="53"/>
      <c r="HH68" s="53"/>
      <c r="HI68" s="53"/>
      <c r="HJ68" s="53"/>
      <c r="HK68" s="53"/>
      <c r="HL68" s="53"/>
      <c r="HM68" s="53"/>
      <c r="HN68" s="53"/>
      <c r="HO68" s="93"/>
      <c r="HP68" s="53"/>
      <c r="HQ68" s="53"/>
      <c r="HR68" s="53"/>
      <c r="HS68" s="53"/>
      <c r="HT68" s="53"/>
      <c r="HU68" s="53"/>
      <c r="HV68" s="53"/>
      <c r="HW68" s="53"/>
      <c r="HX68" s="53"/>
      <c r="HY68" s="53"/>
      <c r="HZ68" s="53"/>
      <c r="IA68" s="53"/>
      <c r="IB68" s="93"/>
      <c r="IC68" s="53"/>
      <c r="ID68" s="53"/>
      <c r="IE68" s="53"/>
      <c r="IF68" s="53"/>
      <c r="IG68" s="53"/>
      <c r="IH68" s="53"/>
      <c r="II68" s="53"/>
      <c r="IJ68" s="53"/>
      <c r="IK68" s="53"/>
      <c r="IL68" s="53"/>
      <c r="IM68" s="53"/>
      <c r="IN68" s="53"/>
      <c r="IO68" s="93"/>
      <c r="IP68" s="53"/>
      <c r="IQ68" s="53"/>
      <c r="IR68" s="53"/>
      <c r="IS68" s="53"/>
      <c r="IT68" s="53"/>
      <c r="IU68" s="53"/>
      <c r="IV68" s="53"/>
    </row>
    <row r="69" spans="2:256" ht="14.25" outlineLevel="2">
      <c r="B69" s="100" t="s">
        <v>479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9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9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93"/>
      <c r="AP69" s="53"/>
      <c r="AQ69" s="53"/>
      <c r="AR69" s="53"/>
      <c r="AS69" s="53"/>
      <c r="AT69" s="53"/>
      <c r="AU69" s="53"/>
      <c r="AV69" s="53"/>
      <c r="AW69" s="53">
        <v>19892.54238</v>
      </c>
      <c r="AX69" s="53"/>
      <c r="AY69" s="53"/>
      <c r="AZ69" s="53"/>
      <c r="BA69" s="53"/>
      <c r="BB69" s="93">
        <f>BA69+AZ69+AY69+AX69+AW69+AV69+AU69+AT69+AS69+AR69+AQ69+AP69</f>
        <v>19892.54238</v>
      </c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9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9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9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9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93"/>
      <c r="DP69" s="53"/>
      <c r="DQ69" s="53"/>
      <c r="DR69" s="53"/>
      <c r="DS69" s="53"/>
      <c r="DT69" s="53"/>
      <c r="DU69" s="53"/>
      <c r="DV69" s="53"/>
      <c r="DW69" s="53"/>
      <c r="DX69" s="53"/>
      <c r="DY69" s="53"/>
      <c r="DZ69" s="53"/>
      <c r="EA69" s="53"/>
      <c r="EB69" s="93"/>
      <c r="EC69" s="53"/>
      <c r="ED69" s="53"/>
      <c r="EE69" s="53"/>
      <c r="EF69" s="53"/>
      <c r="EG69" s="53"/>
      <c r="EH69" s="53"/>
      <c r="EI69" s="53"/>
      <c r="EJ69" s="53"/>
      <c r="EK69" s="53"/>
      <c r="EL69" s="53"/>
      <c r="EM69" s="53"/>
      <c r="EN69" s="53"/>
      <c r="EO69" s="93"/>
      <c r="EP69" s="53"/>
      <c r="EQ69" s="53"/>
      <c r="ER69" s="53"/>
      <c r="ES69" s="53"/>
      <c r="ET69" s="53"/>
      <c r="EU69" s="53"/>
      <c r="EV69" s="53"/>
      <c r="EW69" s="53"/>
      <c r="EX69" s="53"/>
      <c r="EY69" s="53"/>
      <c r="EZ69" s="53"/>
      <c r="FA69" s="53"/>
      <c r="FB69" s="93"/>
      <c r="FC69" s="53"/>
      <c r="FD69" s="53"/>
      <c r="FE69" s="53"/>
      <c r="FF69" s="53"/>
      <c r="FG69" s="53"/>
      <c r="FH69" s="53"/>
      <c r="FI69" s="53"/>
      <c r="FJ69" s="53"/>
      <c r="FK69" s="53"/>
      <c r="FL69" s="53"/>
      <c r="FM69" s="53"/>
      <c r="FN69" s="53"/>
      <c r="FO69" s="93"/>
      <c r="FP69" s="53"/>
      <c r="FQ69" s="53"/>
      <c r="FR69" s="53"/>
      <c r="FS69" s="53"/>
      <c r="FT69" s="53"/>
      <c r="FU69" s="53"/>
      <c r="FV69" s="53"/>
      <c r="FW69" s="53"/>
      <c r="FX69" s="53"/>
      <c r="FY69" s="53"/>
      <c r="FZ69" s="53"/>
      <c r="GA69" s="53"/>
      <c r="GB69" s="93"/>
      <c r="GC69" s="54"/>
      <c r="GD69" s="53"/>
      <c r="GE69" s="53"/>
      <c r="GF69" s="53"/>
      <c r="GG69" s="53"/>
      <c r="GH69" s="53"/>
      <c r="GI69" s="53"/>
      <c r="GJ69" s="53"/>
      <c r="GK69" s="53"/>
      <c r="GL69" s="53"/>
      <c r="GM69" s="53"/>
      <c r="GN69" s="53"/>
      <c r="GO69" s="93"/>
      <c r="GP69" s="53"/>
      <c r="GQ69" s="53"/>
      <c r="GR69" s="53"/>
      <c r="GS69" s="53"/>
      <c r="GT69" s="53"/>
      <c r="GU69" s="53"/>
      <c r="GV69" s="53"/>
      <c r="GW69" s="53"/>
      <c r="GX69" s="53"/>
      <c r="GY69" s="53"/>
      <c r="GZ69" s="53"/>
      <c r="HA69" s="53"/>
      <c r="HB69" s="93"/>
      <c r="HC69" s="49">
        <f t="shared" si="112"/>
        <v>19892.54238</v>
      </c>
      <c r="HD69" s="53"/>
      <c r="HE69" s="53"/>
      <c r="HF69" s="53"/>
      <c r="HG69" s="53"/>
      <c r="HH69" s="53"/>
      <c r="HI69" s="53"/>
      <c r="HJ69" s="53"/>
      <c r="HK69" s="53"/>
      <c r="HL69" s="53"/>
      <c r="HM69" s="53"/>
      <c r="HN69" s="53"/>
      <c r="HO69" s="93"/>
      <c r="HP69" s="53"/>
      <c r="HQ69" s="53"/>
      <c r="HR69" s="53"/>
      <c r="HS69" s="53"/>
      <c r="HT69" s="53"/>
      <c r="HU69" s="53"/>
      <c r="HV69" s="53"/>
      <c r="HW69" s="53"/>
      <c r="HX69" s="53"/>
      <c r="HY69" s="53"/>
      <c r="HZ69" s="53"/>
      <c r="IA69" s="53"/>
      <c r="IB69" s="93"/>
      <c r="IC69" s="53"/>
      <c r="ID69" s="53"/>
      <c r="IE69" s="53"/>
      <c r="IF69" s="53"/>
      <c r="IG69" s="53"/>
      <c r="IH69" s="53"/>
      <c r="II69" s="53"/>
      <c r="IJ69" s="53"/>
      <c r="IK69" s="53"/>
      <c r="IL69" s="53"/>
      <c r="IM69" s="53"/>
      <c r="IN69" s="53"/>
      <c r="IO69" s="93"/>
      <c r="IP69" s="53"/>
      <c r="IQ69" s="53"/>
      <c r="IR69" s="53"/>
      <c r="IS69" s="53"/>
      <c r="IT69" s="53"/>
      <c r="IU69" s="53"/>
      <c r="IV69" s="53"/>
    </row>
    <row r="70" spans="2:256" ht="14.25" outlineLevel="2">
      <c r="B70" s="100" t="s">
        <v>480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9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93"/>
      <c r="AC70" s="53"/>
      <c r="AD70" s="53"/>
      <c r="AE70" s="53"/>
      <c r="AF70" s="53"/>
      <c r="AG70" s="53">
        <v>9680</v>
      </c>
      <c r="AH70" s="53"/>
      <c r="AI70" s="53"/>
      <c r="AJ70" s="53"/>
      <c r="AK70" s="53"/>
      <c r="AL70" s="53"/>
      <c r="AM70" s="53"/>
      <c r="AN70" s="53"/>
      <c r="AO70" s="93">
        <f>AN70+AM70+AL70+AK70+AJ70+AI70+AH70+AG70+AF70+AE70+AD70+AC70</f>
        <v>9680</v>
      </c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9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9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9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93"/>
      <c r="CP70" s="53"/>
      <c r="CQ70" s="53"/>
      <c r="CR70" s="53"/>
      <c r="CS70" s="53"/>
      <c r="CT70" s="53">
        <v>9680</v>
      </c>
      <c r="CU70" s="53"/>
      <c r="CV70" s="53"/>
      <c r="CW70" s="53"/>
      <c r="CX70" s="53"/>
      <c r="CY70" s="53"/>
      <c r="CZ70" s="53"/>
      <c r="DA70" s="53"/>
      <c r="DB70" s="93">
        <f>DA70+CZ70+CY70+CX70+CW70+CV70+CU70+CT70+CS70+CR70+CQ70+CP70</f>
        <v>9680</v>
      </c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93"/>
      <c r="DP70" s="53"/>
      <c r="DQ70" s="53"/>
      <c r="DR70" s="53"/>
      <c r="DS70" s="53"/>
      <c r="DT70" s="53"/>
      <c r="DU70" s="53"/>
      <c r="DV70" s="53"/>
      <c r="DW70" s="53"/>
      <c r="DX70" s="53"/>
      <c r="DY70" s="53"/>
      <c r="DZ70" s="53"/>
      <c r="EA70" s="53"/>
      <c r="EB70" s="93"/>
      <c r="EC70" s="53"/>
      <c r="ED70" s="53"/>
      <c r="EE70" s="53"/>
      <c r="EF70" s="53"/>
      <c r="EG70" s="53"/>
      <c r="EH70" s="53"/>
      <c r="EI70" s="53"/>
      <c r="EJ70" s="53"/>
      <c r="EK70" s="53"/>
      <c r="EL70" s="53"/>
      <c r="EM70" s="53"/>
      <c r="EN70" s="53"/>
      <c r="EO70" s="93"/>
      <c r="EP70" s="53"/>
      <c r="EQ70" s="53"/>
      <c r="ER70" s="53"/>
      <c r="ES70" s="53"/>
      <c r="ET70" s="53"/>
      <c r="EU70" s="53"/>
      <c r="EV70" s="53"/>
      <c r="EW70" s="53"/>
      <c r="EX70" s="53"/>
      <c r="EY70" s="53"/>
      <c r="EZ70" s="53"/>
      <c r="FA70" s="53"/>
      <c r="FB70" s="93"/>
      <c r="FC70" s="53"/>
      <c r="FD70" s="53"/>
      <c r="FE70" s="53"/>
      <c r="FF70" s="53"/>
      <c r="FG70" s="53">
        <v>9680</v>
      </c>
      <c r="FH70" s="53"/>
      <c r="FI70" s="53"/>
      <c r="FJ70" s="53"/>
      <c r="FK70" s="53"/>
      <c r="FL70" s="53"/>
      <c r="FM70" s="53"/>
      <c r="FN70" s="53"/>
      <c r="FO70" s="93">
        <f>FN70+FM70+FL70+FK70+FJ70+FI70+FH70+FG70+FF70+FE70+FD70+FC70</f>
        <v>9680</v>
      </c>
      <c r="FP70" s="53"/>
      <c r="FQ70" s="53"/>
      <c r="FR70" s="53"/>
      <c r="FS70" s="53"/>
      <c r="FT70" s="53"/>
      <c r="FU70" s="53"/>
      <c r="FV70" s="53"/>
      <c r="FW70" s="53"/>
      <c r="FX70" s="53"/>
      <c r="FY70" s="53"/>
      <c r="FZ70" s="53"/>
      <c r="GA70" s="53"/>
      <c r="GB70" s="93"/>
      <c r="GC70" s="54"/>
      <c r="GD70" s="53"/>
      <c r="GE70" s="53"/>
      <c r="GF70" s="53"/>
      <c r="GG70" s="53"/>
      <c r="GH70" s="53"/>
      <c r="GI70" s="53"/>
      <c r="GJ70" s="53"/>
      <c r="GK70" s="53"/>
      <c r="GL70" s="53"/>
      <c r="GM70" s="53"/>
      <c r="GN70" s="53"/>
      <c r="GO70" s="93"/>
      <c r="GP70" s="53"/>
      <c r="GQ70" s="53"/>
      <c r="GR70" s="53"/>
      <c r="GS70" s="53"/>
      <c r="GT70" s="53"/>
      <c r="GU70" s="53"/>
      <c r="GV70" s="53"/>
      <c r="GW70" s="53"/>
      <c r="GX70" s="53"/>
      <c r="GY70" s="53"/>
      <c r="GZ70" s="53"/>
      <c r="HA70" s="53"/>
      <c r="HB70" s="93"/>
      <c r="HC70" s="49">
        <f t="shared" si="112"/>
        <v>29040</v>
      </c>
      <c r="HD70" s="53"/>
      <c r="HE70" s="53"/>
      <c r="HF70" s="53"/>
      <c r="HG70" s="53"/>
      <c r="HH70" s="53"/>
      <c r="HI70" s="53"/>
      <c r="HJ70" s="53"/>
      <c r="HK70" s="53"/>
      <c r="HL70" s="53"/>
      <c r="HM70" s="53"/>
      <c r="HN70" s="53"/>
      <c r="HO70" s="93"/>
      <c r="HP70" s="53"/>
      <c r="HQ70" s="53"/>
      <c r="HR70" s="53"/>
      <c r="HS70" s="53"/>
      <c r="HT70" s="53"/>
      <c r="HU70" s="53"/>
      <c r="HV70" s="53"/>
      <c r="HW70" s="53"/>
      <c r="HX70" s="53"/>
      <c r="HY70" s="53"/>
      <c r="HZ70" s="53"/>
      <c r="IA70" s="53"/>
      <c r="IB70" s="93"/>
      <c r="IC70" s="53"/>
      <c r="ID70" s="53"/>
      <c r="IE70" s="53"/>
      <c r="IF70" s="53"/>
      <c r="IG70" s="53"/>
      <c r="IH70" s="53"/>
      <c r="II70" s="53"/>
      <c r="IJ70" s="53"/>
      <c r="IK70" s="53"/>
      <c r="IL70" s="53"/>
      <c r="IM70" s="53"/>
      <c r="IN70" s="53"/>
      <c r="IO70" s="93"/>
      <c r="IP70" s="53"/>
      <c r="IQ70" s="53"/>
      <c r="IR70" s="53"/>
      <c r="IS70" s="53"/>
      <c r="IT70" s="53"/>
      <c r="IU70" s="53"/>
      <c r="IV70" s="53"/>
    </row>
    <row r="71" spans="2:256" ht="14.25" outlineLevel="2">
      <c r="B71" s="100" t="s">
        <v>481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9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93"/>
      <c r="AC71" s="53"/>
      <c r="AD71" s="53"/>
      <c r="AE71" s="53"/>
      <c r="AF71" s="53"/>
      <c r="AG71" s="53"/>
      <c r="AH71" s="53"/>
      <c r="AI71" s="53"/>
      <c r="AJ71" s="53">
        <v>9680</v>
      </c>
      <c r="AK71" s="53"/>
      <c r="AL71" s="53"/>
      <c r="AM71" s="53"/>
      <c r="AN71" s="53"/>
      <c r="AO71" s="93">
        <f>AN71+AM71+AL71+AK71+AJ71+AI71+AH71+AG71+AF71+AE71+AD71+AC71</f>
        <v>9680</v>
      </c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9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9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9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/>
      <c r="CN71" s="53"/>
      <c r="CO71" s="93"/>
      <c r="CP71" s="53"/>
      <c r="CQ71" s="53"/>
      <c r="CR71" s="53"/>
      <c r="CS71" s="53"/>
      <c r="CT71" s="53"/>
      <c r="CU71" s="53"/>
      <c r="CV71" s="53"/>
      <c r="CW71" s="53">
        <v>9680</v>
      </c>
      <c r="CX71" s="53"/>
      <c r="CY71" s="53"/>
      <c r="CZ71" s="53"/>
      <c r="DA71" s="53"/>
      <c r="DB71" s="93">
        <f>DA71+CZ71+CY71+CX71+CW71+CV71+CU71+CT71+CS71+CR71+CQ71+CP71</f>
        <v>9680</v>
      </c>
      <c r="DC71" s="53"/>
      <c r="DD71" s="53"/>
      <c r="DE71" s="53"/>
      <c r="DF71" s="53"/>
      <c r="DG71" s="53"/>
      <c r="DH71" s="53"/>
      <c r="DI71" s="53"/>
      <c r="DJ71" s="53"/>
      <c r="DK71" s="53"/>
      <c r="DL71" s="53"/>
      <c r="DM71" s="53"/>
      <c r="DN71" s="53"/>
      <c r="DO71" s="93"/>
      <c r="DP71" s="53"/>
      <c r="DQ71" s="53"/>
      <c r="DR71" s="53"/>
      <c r="DS71" s="53"/>
      <c r="DT71" s="53"/>
      <c r="DU71" s="53"/>
      <c r="DV71" s="53"/>
      <c r="DW71" s="53"/>
      <c r="DX71" s="53"/>
      <c r="DY71" s="53"/>
      <c r="DZ71" s="53"/>
      <c r="EA71" s="53"/>
      <c r="EB71" s="93"/>
      <c r="EC71" s="53"/>
      <c r="ED71" s="53"/>
      <c r="EE71" s="53"/>
      <c r="EF71" s="53"/>
      <c r="EG71" s="53"/>
      <c r="EH71" s="53"/>
      <c r="EI71" s="53"/>
      <c r="EJ71" s="53"/>
      <c r="EK71" s="53"/>
      <c r="EL71" s="53"/>
      <c r="EM71" s="53"/>
      <c r="EN71" s="53"/>
      <c r="EO71" s="93"/>
      <c r="EP71" s="53"/>
      <c r="EQ71" s="53"/>
      <c r="ER71" s="53"/>
      <c r="ES71" s="53"/>
      <c r="ET71" s="53"/>
      <c r="EU71" s="53"/>
      <c r="EV71" s="53"/>
      <c r="EW71" s="53"/>
      <c r="EX71" s="53"/>
      <c r="EY71" s="53"/>
      <c r="EZ71" s="53"/>
      <c r="FA71" s="53"/>
      <c r="FB71" s="93"/>
      <c r="FC71" s="53"/>
      <c r="FD71" s="53"/>
      <c r="FE71" s="53"/>
      <c r="FF71" s="53"/>
      <c r="FG71" s="53"/>
      <c r="FH71" s="53"/>
      <c r="FI71" s="53"/>
      <c r="FJ71" s="53">
        <v>9680</v>
      </c>
      <c r="FK71" s="53"/>
      <c r="FL71" s="53"/>
      <c r="FM71" s="53"/>
      <c r="FN71" s="53"/>
      <c r="FO71" s="93">
        <f>FN71+FM71+FL71+FK71+FJ71+FI71+FH71+FG71+FF71+FE71+FD71+FC71</f>
        <v>9680</v>
      </c>
      <c r="FP71" s="53"/>
      <c r="FQ71" s="53"/>
      <c r="FR71" s="53"/>
      <c r="FS71" s="53"/>
      <c r="FT71" s="53"/>
      <c r="FU71" s="53"/>
      <c r="FV71" s="53"/>
      <c r="FW71" s="53"/>
      <c r="FX71" s="53"/>
      <c r="FY71" s="53"/>
      <c r="FZ71" s="53"/>
      <c r="GA71" s="53"/>
      <c r="GB71" s="93"/>
      <c r="GC71" s="53"/>
      <c r="GD71" s="53"/>
      <c r="GE71" s="53"/>
      <c r="GF71" s="53"/>
      <c r="GG71" s="53"/>
      <c r="GH71" s="53"/>
      <c r="GI71" s="53"/>
      <c r="GJ71" s="53"/>
      <c r="GK71" s="53"/>
      <c r="GL71" s="53"/>
      <c r="GM71" s="53"/>
      <c r="GN71" s="53"/>
      <c r="GO71" s="93"/>
      <c r="GP71" s="53"/>
      <c r="GQ71" s="53"/>
      <c r="GR71" s="53"/>
      <c r="GS71" s="53"/>
      <c r="GT71" s="53"/>
      <c r="GU71" s="53"/>
      <c r="GV71" s="53"/>
      <c r="GW71" s="53"/>
      <c r="GX71" s="53"/>
      <c r="GY71" s="53"/>
      <c r="GZ71" s="53"/>
      <c r="HA71" s="53"/>
      <c r="HB71" s="93"/>
      <c r="HC71" s="49">
        <f t="shared" si="112"/>
        <v>29040</v>
      </c>
      <c r="HD71" s="53"/>
      <c r="HE71" s="53"/>
      <c r="HF71" s="53"/>
      <c r="HG71" s="53"/>
      <c r="HH71" s="53"/>
      <c r="HI71" s="53"/>
      <c r="HJ71" s="53"/>
      <c r="HK71" s="53"/>
      <c r="HL71" s="53"/>
      <c r="HM71" s="53"/>
      <c r="HN71" s="53"/>
      <c r="HO71" s="93"/>
      <c r="HP71" s="53"/>
      <c r="HQ71" s="53"/>
      <c r="HR71" s="53"/>
      <c r="HS71" s="53"/>
      <c r="HT71" s="53"/>
      <c r="HU71" s="53"/>
      <c r="HV71" s="53"/>
      <c r="HW71" s="53"/>
      <c r="HX71" s="53"/>
      <c r="HY71" s="53"/>
      <c r="HZ71" s="53"/>
      <c r="IA71" s="53"/>
      <c r="IB71" s="93"/>
      <c r="IC71" s="53"/>
      <c r="ID71" s="53"/>
      <c r="IE71" s="53"/>
      <c r="IF71" s="53"/>
      <c r="IG71" s="53"/>
      <c r="IH71" s="53"/>
      <c r="II71" s="53"/>
      <c r="IJ71" s="53"/>
      <c r="IK71" s="53"/>
      <c r="IL71" s="53"/>
      <c r="IM71" s="53"/>
      <c r="IN71" s="53"/>
      <c r="IO71" s="93"/>
      <c r="IP71" s="53"/>
      <c r="IQ71" s="53"/>
      <c r="IR71" s="53"/>
      <c r="IS71" s="53"/>
      <c r="IT71" s="53"/>
      <c r="IU71" s="53"/>
      <c r="IV71" s="53"/>
    </row>
    <row r="72" spans="2:256" ht="14.25" outlineLevel="2">
      <c r="B72" s="100" t="s">
        <v>482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9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93"/>
      <c r="AC72" s="53"/>
      <c r="AD72" s="53"/>
      <c r="AE72" s="53"/>
      <c r="AF72" s="53"/>
      <c r="AG72" s="53">
        <v>3368</v>
      </c>
      <c r="AH72" s="53"/>
      <c r="AI72" s="53"/>
      <c r="AJ72" s="53"/>
      <c r="AK72" s="53"/>
      <c r="AL72" s="53"/>
      <c r="AM72" s="53"/>
      <c r="AN72" s="53"/>
      <c r="AO72" s="93">
        <f>AN72+AM72+AL72+AK72+AJ72+AI72+AH72+AG72+AF72+AE72+AD72+AC72</f>
        <v>3368</v>
      </c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9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9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93"/>
      <c r="CC72" s="53"/>
      <c r="CD72" s="53"/>
      <c r="CE72" s="53"/>
      <c r="CF72" s="53"/>
      <c r="CG72" s="53"/>
      <c r="CH72" s="53"/>
      <c r="CI72" s="53"/>
      <c r="CJ72" s="53"/>
      <c r="CK72" s="53"/>
      <c r="CL72" s="53"/>
      <c r="CM72" s="53"/>
      <c r="CN72" s="53"/>
      <c r="CO72" s="93"/>
      <c r="CP72" s="53"/>
      <c r="CQ72" s="53"/>
      <c r="CR72" s="53"/>
      <c r="CS72" s="53"/>
      <c r="CT72" s="53"/>
      <c r="CU72" s="53"/>
      <c r="CV72" s="53"/>
      <c r="CW72" s="53"/>
      <c r="CX72" s="53"/>
      <c r="CY72" s="53"/>
      <c r="CZ72" s="53"/>
      <c r="DA72" s="53"/>
      <c r="DB72" s="93"/>
      <c r="DC72" s="53"/>
      <c r="DD72" s="53"/>
      <c r="DE72" s="53"/>
      <c r="DF72" s="53"/>
      <c r="DG72" s="53"/>
      <c r="DH72" s="53"/>
      <c r="DI72" s="53"/>
      <c r="DJ72" s="53"/>
      <c r="DK72" s="53"/>
      <c r="DL72" s="53"/>
      <c r="DM72" s="53"/>
      <c r="DN72" s="53"/>
      <c r="DO72" s="93"/>
      <c r="DP72" s="53"/>
      <c r="DQ72" s="53"/>
      <c r="DR72" s="53"/>
      <c r="DS72" s="53"/>
      <c r="DT72" s="53"/>
      <c r="DU72" s="53"/>
      <c r="DV72" s="53"/>
      <c r="DW72" s="53"/>
      <c r="DX72" s="53"/>
      <c r="DY72" s="53"/>
      <c r="DZ72" s="53"/>
      <c r="EA72" s="53"/>
      <c r="EB72" s="93"/>
      <c r="EC72" s="53"/>
      <c r="ED72" s="53"/>
      <c r="EE72" s="53"/>
      <c r="EF72" s="53"/>
      <c r="EG72" s="53"/>
      <c r="EH72" s="53"/>
      <c r="EI72" s="53"/>
      <c r="EJ72" s="53"/>
      <c r="EK72" s="53"/>
      <c r="EL72" s="53"/>
      <c r="EM72" s="53"/>
      <c r="EN72" s="53"/>
      <c r="EO72" s="93"/>
      <c r="EP72" s="53"/>
      <c r="EQ72" s="53"/>
      <c r="ER72" s="53"/>
      <c r="ES72" s="53"/>
      <c r="ET72" s="53"/>
      <c r="EU72" s="53"/>
      <c r="EV72" s="53"/>
      <c r="EW72" s="53"/>
      <c r="EX72" s="53"/>
      <c r="EY72" s="53"/>
      <c r="EZ72" s="53"/>
      <c r="FA72" s="53"/>
      <c r="FB72" s="93"/>
      <c r="FC72" s="53"/>
      <c r="FD72" s="53"/>
      <c r="FE72" s="53"/>
      <c r="FF72" s="53"/>
      <c r="FG72" s="53"/>
      <c r="FH72" s="53"/>
      <c r="FI72" s="53"/>
      <c r="FJ72" s="53"/>
      <c r="FK72" s="53"/>
      <c r="FL72" s="53"/>
      <c r="FM72" s="53"/>
      <c r="FN72" s="53"/>
      <c r="FO72" s="93"/>
      <c r="FP72" s="53"/>
      <c r="FQ72" s="53"/>
      <c r="FR72" s="53"/>
      <c r="FS72" s="53"/>
      <c r="FT72" s="53"/>
      <c r="FU72" s="53"/>
      <c r="FV72" s="53"/>
      <c r="FW72" s="53"/>
      <c r="FX72" s="53"/>
      <c r="FY72" s="53"/>
      <c r="FZ72" s="53"/>
      <c r="GA72" s="53"/>
      <c r="GB72" s="93"/>
      <c r="GC72" s="54"/>
      <c r="GD72" s="53"/>
      <c r="GE72" s="53"/>
      <c r="GF72" s="53"/>
      <c r="GG72" s="53"/>
      <c r="GH72" s="53"/>
      <c r="GI72" s="53"/>
      <c r="GJ72" s="53"/>
      <c r="GK72" s="53"/>
      <c r="GL72" s="53"/>
      <c r="GM72" s="53"/>
      <c r="GN72" s="53"/>
      <c r="GO72" s="93"/>
      <c r="GP72" s="53"/>
      <c r="GQ72" s="53"/>
      <c r="GR72" s="53"/>
      <c r="GS72" s="53"/>
      <c r="GT72" s="53"/>
      <c r="GU72" s="53"/>
      <c r="GV72" s="53"/>
      <c r="GW72" s="53"/>
      <c r="GX72" s="53"/>
      <c r="GY72" s="53"/>
      <c r="GZ72" s="53"/>
      <c r="HA72" s="53"/>
      <c r="HB72" s="93"/>
      <c r="HC72" s="49">
        <f t="shared" si="112"/>
        <v>3368</v>
      </c>
      <c r="HD72" s="53"/>
      <c r="HE72" s="53"/>
      <c r="HF72" s="53"/>
      <c r="HG72" s="53"/>
      <c r="HH72" s="53"/>
      <c r="HI72" s="53"/>
      <c r="HJ72" s="53"/>
      <c r="HK72" s="53"/>
      <c r="HL72" s="53"/>
      <c r="HM72" s="53"/>
      <c r="HN72" s="53"/>
      <c r="HO72" s="93"/>
      <c r="HP72" s="53"/>
      <c r="HQ72" s="53"/>
      <c r="HR72" s="53"/>
      <c r="HS72" s="53"/>
      <c r="HT72" s="53"/>
      <c r="HU72" s="53"/>
      <c r="HV72" s="53"/>
      <c r="HW72" s="53"/>
      <c r="HX72" s="53"/>
      <c r="HY72" s="53"/>
      <c r="HZ72" s="53"/>
      <c r="IA72" s="53"/>
      <c r="IB72" s="93"/>
      <c r="IC72" s="53"/>
      <c r="ID72" s="53"/>
      <c r="IE72" s="53"/>
      <c r="IF72" s="53"/>
      <c r="IG72" s="53"/>
      <c r="IH72" s="53"/>
      <c r="II72" s="53"/>
      <c r="IJ72" s="53"/>
      <c r="IK72" s="53"/>
      <c r="IL72" s="53"/>
      <c r="IM72" s="53"/>
      <c r="IN72" s="53"/>
      <c r="IO72" s="93"/>
      <c r="IP72" s="53"/>
      <c r="IQ72" s="53"/>
      <c r="IR72" s="53"/>
      <c r="IS72" s="53"/>
      <c r="IT72" s="53"/>
      <c r="IU72" s="53"/>
      <c r="IV72" s="53"/>
    </row>
    <row r="73" spans="2:256" ht="14.25" outlineLevel="2">
      <c r="B73" s="100" t="s">
        <v>483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9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93"/>
      <c r="AC73" s="53"/>
      <c r="AD73" s="53"/>
      <c r="AE73" s="53"/>
      <c r="AF73" s="53"/>
      <c r="AG73" s="53"/>
      <c r="AH73" s="53"/>
      <c r="AI73" s="53"/>
      <c r="AJ73" s="53">
        <v>3368</v>
      </c>
      <c r="AK73" s="53"/>
      <c r="AL73" s="53"/>
      <c r="AM73" s="53"/>
      <c r="AN73" s="53"/>
      <c r="AO73" s="93">
        <f>AN73+AM73+AL73+AK73+AJ73+AI73+AH73+AG73+AF73+AE73+AD73+AC73</f>
        <v>3368</v>
      </c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9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9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9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93"/>
      <c r="CP73" s="53"/>
      <c r="CQ73" s="53"/>
      <c r="CR73" s="53"/>
      <c r="CS73" s="53"/>
      <c r="CT73" s="53"/>
      <c r="CU73" s="53"/>
      <c r="CV73" s="53"/>
      <c r="CW73" s="53"/>
      <c r="CX73" s="53"/>
      <c r="CY73" s="53"/>
      <c r="CZ73" s="53"/>
      <c r="DA73" s="53"/>
      <c r="DB73" s="93"/>
      <c r="DC73" s="53"/>
      <c r="DD73" s="53"/>
      <c r="DE73" s="53"/>
      <c r="DF73" s="53"/>
      <c r="DG73" s="53"/>
      <c r="DH73" s="53"/>
      <c r="DI73" s="53"/>
      <c r="DJ73" s="53"/>
      <c r="DK73" s="53"/>
      <c r="DL73" s="53"/>
      <c r="DM73" s="53"/>
      <c r="DN73" s="53"/>
      <c r="DO73" s="93"/>
      <c r="DP73" s="53"/>
      <c r="DQ73" s="53"/>
      <c r="DR73" s="53"/>
      <c r="DS73" s="53"/>
      <c r="DT73" s="53"/>
      <c r="DU73" s="53"/>
      <c r="DV73" s="53"/>
      <c r="DW73" s="53"/>
      <c r="DX73" s="53"/>
      <c r="DY73" s="53"/>
      <c r="DZ73" s="53"/>
      <c r="EA73" s="53"/>
      <c r="EB73" s="93"/>
      <c r="EC73" s="53"/>
      <c r="ED73" s="53"/>
      <c r="EE73" s="53"/>
      <c r="EF73" s="53"/>
      <c r="EG73" s="53"/>
      <c r="EH73" s="53"/>
      <c r="EI73" s="53"/>
      <c r="EJ73" s="53"/>
      <c r="EK73" s="53"/>
      <c r="EL73" s="53"/>
      <c r="EM73" s="53"/>
      <c r="EN73" s="53"/>
      <c r="EO73" s="93"/>
      <c r="EP73" s="53"/>
      <c r="EQ73" s="53"/>
      <c r="ER73" s="53"/>
      <c r="ES73" s="53"/>
      <c r="ET73" s="53"/>
      <c r="EU73" s="53"/>
      <c r="EV73" s="53"/>
      <c r="EW73" s="53"/>
      <c r="EX73" s="53"/>
      <c r="EY73" s="53"/>
      <c r="EZ73" s="53"/>
      <c r="FA73" s="53"/>
      <c r="FB73" s="93"/>
      <c r="FC73" s="53"/>
      <c r="FD73" s="53"/>
      <c r="FE73" s="53"/>
      <c r="FF73" s="53"/>
      <c r="FG73" s="53"/>
      <c r="FH73" s="53"/>
      <c r="FI73" s="53"/>
      <c r="FJ73" s="53"/>
      <c r="FK73" s="53"/>
      <c r="FL73" s="53"/>
      <c r="FM73" s="53"/>
      <c r="FN73" s="53"/>
      <c r="FO73" s="93"/>
      <c r="FP73" s="53"/>
      <c r="FQ73" s="53"/>
      <c r="FR73" s="53"/>
      <c r="FS73" s="53"/>
      <c r="FT73" s="53"/>
      <c r="FU73" s="53"/>
      <c r="FV73" s="53"/>
      <c r="FW73" s="53"/>
      <c r="FX73" s="53"/>
      <c r="FY73" s="53"/>
      <c r="FZ73" s="53"/>
      <c r="GA73" s="53"/>
      <c r="GB73" s="93"/>
      <c r="GC73" s="54"/>
      <c r="GD73" s="53"/>
      <c r="GE73" s="53"/>
      <c r="GF73" s="53"/>
      <c r="GG73" s="53"/>
      <c r="GH73" s="53"/>
      <c r="GI73" s="53"/>
      <c r="GJ73" s="53"/>
      <c r="GK73" s="53"/>
      <c r="GL73" s="53"/>
      <c r="GM73" s="53"/>
      <c r="GN73" s="53"/>
      <c r="GO73" s="93"/>
      <c r="GP73" s="53"/>
      <c r="GQ73" s="53"/>
      <c r="GR73" s="53"/>
      <c r="GS73" s="53"/>
      <c r="GT73" s="53"/>
      <c r="GU73" s="53"/>
      <c r="GV73" s="53"/>
      <c r="GW73" s="53"/>
      <c r="GX73" s="53"/>
      <c r="GY73" s="53"/>
      <c r="GZ73" s="53"/>
      <c r="HA73" s="53"/>
      <c r="HB73" s="93"/>
      <c r="HC73" s="49">
        <f t="shared" si="112"/>
        <v>3368</v>
      </c>
      <c r="HD73" s="53"/>
      <c r="HE73" s="53"/>
      <c r="HF73" s="53"/>
      <c r="HG73" s="53"/>
      <c r="HH73" s="53"/>
      <c r="HI73" s="53"/>
      <c r="HJ73" s="53"/>
      <c r="HK73" s="53"/>
      <c r="HL73" s="53"/>
      <c r="HM73" s="53"/>
      <c r="HN73" s="53"/>
      <c r="HO73" s="93"/>
      <c r="HP73" s="53"/>
      <c r="HQ73" s="53"/>
      <c r="HR73" s="53"/>
      <c r="HS73" s="53"/>
      <c r="HT73" s="53"/>
      <c r="HU73" s="53"/>
      <c r="HV73" s="53"/>
      <c r="HW73" s="53"/>
      <c r="HX73" s="53"/>
      <c r="HY73" s="53"/>
      <c r="HZ73" s="53"/>
      <c r="IA73" s="53"/>
      <c r="IB73" s="93"/>
      <c r="IC73" s="53"/>
      <c r="ID73" s="53"/>
      <c r="IE73" s="53"/>
      <c r="IF73" s="53"/>
      <c r="IG73" s="53"/>
      <c r="IH73" s="53"/>
      <c r="II73" s="53"/>
      <c r="IJ73" s="53"/>
      <c r="IK73" s="53"/>
      <c r="IL73" s="53"/>
      <c r="IM73" s="53"/>
      <c r="IN73" s="53"/>
      <c r="IO73" s="93"/>
      <c r="IP73" s="53"/>
      <c r="IQ73" s="53"/>
      <c r="IR73" s="53"/>
      <c r="IS73" s="53"/>
      <c r="IT73" s="53"/>
      <c r="IU73" s="53"/>
      <c r="IV73" s="53"/>
    </row>
    <row r="74" spans="2:256" ht="14.25" outlineLevel="2">
      <c r="B74" s="100" t="s">
        <v>484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9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9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93"/>
      <c r="AP74" s="53"/>
      <c r="AQ74" s="53"/>
      <c r="AR74" s="53"/>
      <c r="AS74" s="53"/>
      <c r="AT74" s="53">
        <v>4840</v>
      </c>
      <c r="AU74" s="53"/>
      <c r="AV74" s="53"/>
      <c r="AW74" s="53"/>
      <c r="AX74" s="53"/>
      <c r="AY74" s="53"/>
      <c r="AZ74" s="53"/>
      <c r="BA74" s="53"/>
      <c r="BB74" s="93">
        <f>BA74+AZ74+AY74+AX74+AW74+AV74+AU74+AT74+AS74+AR74+AQ74+AP74</f>
        <v>4840</v>
      </c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9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9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9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93"/>
      <c r="DC74" s="53"/>
      <c r="DD74" s="53"/>
      <c r="DE74" s="53"/>
      <c r="DF74" s="53"/>
      <c r="DG74" s="53">
        <v>4840</v>
      </c>
      <c r="DH74" s="53"/>
      <c r="DI74" s="53"/>
      <c r="DJ74" s="53"/>
      <c r="DK74" s="53"/>
      <c r="DL74" s="53"/>
      <c r="DM74" s="53"/>
      <c r="DN74" s="53"/>
      <c r="DO74" s="93">
        <f>DN74+DM74+DL74+DK74+DJ74+DI74+DH74+DG74+DF74+DE74+DD74+DC74</f>
        <v>4840</v>
      </c>
      <c r="DP74" s="53"/>
      <c r="DQ74" s="53"/>
      <c r="DR74" s="53"/>
      <c r="DS74" s="53"/>
      <c r="DT74" s="53"/>
      <c r="DU74" s="53"/>
      <c r="DV74" s="53"/>
      <c r="DW74" s="53"/>
      <c r="DX74" s="53"/>
      <c r="DY74" s="53"/>
      <c r="DZ74" s="53"/>
      <c r="EA74" s="53"/>
      <c r="EB74" s="93"/>
      <c r="EC74" s="53"/>
      <c r="ED74" s="53"/>
      <c r="EE74" s="53"/>
      <c r="EF74" s="53"/>
      <c r="EG74" s="53"/>
      <c r="EH74" s="53"/>
      <c r="EI74" s="53"/>
      <c r="EJ74" s="53"/>
      <c r="EK74" s="53"/>
      <c r="EL74" s="53"/>
      <c r="EM74" s="53"/>
      <c r="EN74" s="53"/>
      <c r="EO74" s="93"/>
      <c r="EP74" s="53"/>
      <c r="EQ74" s="53"/>
      <c r="ER74" s="53"/>
      <c r="ES74" s="53"/>
      <c r="ET74" s="53"/>
      <c r="EU74" s="53"/>
      <c r="EV74" s="53"/>
      <c r="EW74" s="53"/>
      <c r="EX74" s="53"/>
      <c r="EY74" s="53"/>
      <c r="EZ74" s="53"/>
      <c r="FA74" s="53"/>
      <c r="FB74" s="93"/>
      <c r="FC74" s="53"/>
      <c r="FD74" s="53"/>
      <c r="FE74" s="53"/>
      <c r="FF74" s="53"/>
      <c r="FG74" s="53"/>
      <c r="FH74" s="53"/>
      <c r="FI74" s="53"/>
      <c r="FJ74" s="53"/>
      <c r="FK74" s="53"/>
      <c r="FL74" s="53"/>
      <c r="FM74" s="53"/>
      <c r="FN74" s="53"/>
      <c r="FO74" s="93"/>
      <c r="FP74" s="53"/>
      <c r="FQ74" s="53"/>
      <c r="FR74" s="53"/>
      <c r="FS74" s="53"/>
      <c r="FT74" s="53">
        <v>4840</v>
      </c>
      <c r="FU74" s="53"/>
      <c r="FV74" s="53"/>
      <c r="FW74" s="53"/>
      <c r="FX74" s="53"/>
      <c r="FY74" s="53"/>
      <c r="FZ74" s="53"/>
      <c r="GA74" s="53"/>
      <c r="GB74" s="93">
        <f>GA74+FZ74+FY74+FX74+FW74+FV74+FU74+FT74+FS74+FR74+FQ74+FP74</f>
        <v>4840</v>
      </c>
      <c r="GC74" s="54"/>
      <c r="GD74" s="53"/>
      <c r="GE74" s="53"/>
      <c r="GF74" s="53"/>
      <c r="GG74" s="53"/>
      <c r="GH74" s="53"/>
      <c r="GI74" s="53"/>
      <c r="GJ74" s="53"/>
      <c r="GK74" s="53"/>
      <c r="GL74" s="53"/>
      <c r="GM74" s="53"/>
      <c r="GN74" s="53"/>
      <c r="GO74" s="93"/>
      <c r="GP74" s="53"/>
      <c r="GQ74" s="53"/>
      <c r="GR74" s="53"/>
      <c r="GS74" s="53"/>
      <c r="GT74" s="53"/>
      <c r="GU74" s="53"/>
      <c r="GV74" s="53"/>
      <c r="GW74" s="53"/>
      <c r="GX74" s="53"/>
      <c r="GY74" s="53"/>
      <c r="GZ74" s="53"/>
      <c r="HA74" s="53"/>
      <c r="HB74" s="93"/>
      <c r="HC74" s="49">
        <f t="shared" si="112"/>
        <v>14520</v>
      </c>
      <c r="HD74" s="53"/>
      <c r="HE74" s="53"/>
      <c r="HF74" s="53"/>
      <c r="HG74" s="53"/>
      <c r="HH74" s="53"/>
      <c r="HI74" s="53"/>
      <c r="HJ74" s="53"/>
      <c r="HK74" s="53"/>
      <c r="HL74" s="53"/>
      <c r="HM74" s="53"/>
      <c r="HN74" s="53"/>
      <c r="HO74" s="93"/>
      <c r="HP74" s="53"/>
      <c r="HQ74" s="53"/>
      <c r="HR74" s="53"/>
      <c r="HS74" s="53"/>
      <c r="HT74" s="53"/>
      <c r="HU74" s="53"/>
      <c r="HV74" s="53"/>
      <c r="HW74" s="53"/>
      <c r="HX74" s="53"/>
      <c r="HY74" s="53"/>
      <c r="HZ74" s="53"/>
      <c r="IA74" s="53"/>
      <c r="IB74" s="93"/>
      <c r="IC74" s="53"/>
      <c r="ID74" s="53"/>
      <c r="IE74" s="53"/>
      <c r="IF74" s="53"/>
      <c r="IG74" s="53"/>
      <c r="IH74" s="53"/>
      <c r="II74" s="53"/>
      <c r="IJ74" s="53"/>
      <c r="IK74" s="53"/>
      <c r="IL74" s="53"/>
      <c r="IM74" s="53"/>
      <c r="IN74" s="53"/>
      <c r="IO74" s="93"/>
      <c r="IP74" s="53"/>
      <c r="IQ74" s="53"/>
      <c r="IR74" s="53"/>
      <c r="IS74" s="53"/>
      <c r="IT74" s="53"/>
      <c r="IU74" s="53"/>
      <c r="IV74" s="53"/>
    </row>
    <row r="75" spans="2:256" ht="14.25" outlineLevel="2">
      <c r="B75" s="100" t="s">
        <v>485</v>
      </c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9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9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93"/>
      <c r="AP75" s="53"/>
      <c r="AQ75" s="53"/>
      <c r="AR75" s="53"/>
      <c r="AS75" s="53"/>
      <c r="AT75" s="53"/>
      <c r="AU75" s="53"/>
      <c r="AV75" s="53"/>
      <c r="AW75" s="53">
        <v>4840</v>
      </c>
      <c r="AX75" s="53"/>
      <c r="AY75" s="53"/>
      <c r="AZ75" s="53"/>
      <c r="BA75" s="53"/>
      <c r="BB75" s="93">
        <f>BA75+AZ75+AY75+AX75+AW75+AV75+AU75+AT75+AS75+AR75+AQ75+AP75</f>
        <v>4840</v>
      </c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9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9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3"/>
      <c r="CN75" s="53"/>
      <c r="CO75" s="93"/>
      <c r="CP75" s="53"/>
      <c r="CQ75" s="53"/>
      <c r="CR75" s="53"/>
      <c r="CS75" s="53"/>
      <c r="CT75" s="53"/>
      <c r="CU75" s="53"/>
      <c r="CV75" s="53"/>
      <c r="CW75" s="53"/>
      <c r="CX75" s="53"/>
      <c r="CY75" s="53"/>
      <c r="CZ75" s="53"/>
      <c r="DA75" s="53"/>
      <c r="DB75" s="93"/>
      <c r="DC75" s="53"/>
      <c r="DD75" s="53"/>
      <c r="DE75" s="53"/>
      <c r="DF75" s="53"/>
      <c r="DG75" s="53"/>
      <c r="DH75" s="53"/>
      <c r="DI75" s="53"/>
      <c r="DJ75" s="53">
        <v>4840</v>
      </c>
      <c r="DK75" s="53"/>
      <c r="DL75" s="53"/>
      <c r="DM75" s="53"/>
      <c r="DN75" s="53"/>
      <c r="DO75" s="93">
        <f>DN75+DM75+DL75+DK75+DJ75+DI75+DH75+DG75+DF75+DE75+DD75+DC75</f>
        <v>4840</v>
      </c>
      <c r="DP75" s="53"/>
      <c r="DQ75" s="53"/>
      <c r="DR75" s="53"/>
      <c r="DS75" s="53"/>
      <c r="DT75" s="53"/>
      <c r="DU75" s="53"/>
      <c r="DV75" s="53"/>
      <c r="DW75" s="53"/>
      <c r="DX75" s="53"/>
      <c r="DY75" s="53"/>
      <c r="DZ75" s="53"/>
      <c r="EA75" s="53"/>
      <c r="EB75" s="93"/>
      <c r="EC75" s="53"/>
      <c r="ED75" s="53"/>
      <c r="EE75" s="53"/>
      <c r="EF75" s="53"/>
      <c r="EG75" s="53"/>
      <c r="EH75" s="53"/>
      <c r="EI75" s="53"/>
      <c r="EJ75" s="53"/>
      <c r="EK75" s="53"/>
      <c r="EL75" s="53"/>
      <c r="EM75" s="53"/>
      <c r="EN75" s="53"/>
      <c r="EO75" s="93"/>
      <c r="EP75" s="53"/>
      <c r="EQ75" s="53"/>
      <c r="ER75" s="53"/>
      <c r="ES75" s="53"/>
      <c r="ET75" s="53"/>
      <c r="EU75" s="53"/>
      <c r="EV75" s="53"/>
      <c r="EW75" s="53"/>
      <c r="EX75" s="53"/>
      <c r="EY75" s="53"/>
      <c r="EZ75" s="53"/>
      <c r="FA75" s="53"/>
      <c r="FB75" s="93"/>
      <c r="FC75" s="53"/>
      <c r="FD75" s="53"/>
      <c r="FE75" s="53"/>
      <c r="FF75" s="53"/>
      <c r="FG75" s="53"/>
      <c r="FH75" s="53"/>
      <c r="FI75" s="53"/>
      <c r="FJ75" s="53"/>
      <c r="FK75" s="53"/>
      <c r="FL75" s="53"/>
      <c r="FM75" s="53"/>
      <c r="FN75" s="53"/>
      <c r="FO75" s="93"/>
      <c r="FP75" s="53"/>
      <c r="FQ75" s="53"/>
      <c r="FR75" s="53"/>
      <c r="FS75" s="53"/>
      <c r="FT75" s="53"/>
      <c r="FU75" s="53"/>
      <c r="FV75" s="53"/>
      <c r="FW75" s="53">
        <v>4840</v>
      </c>
      <c r="FX75" s="53"/>
      <c r="FY75" s="53"/>
      <c r="FZ75" s="53"/>
      <c r="GA75" s="53"/>
      <c r="GB75" s="93">
        <f>GA75+FZ75+FY75+FX75+FW75+FV75+FU75+FT75+FS75+FR75+FQ75+FP75</f>
        <v>4840</v>
      </c>
      <c r="GC75" s="53"/>
      <c r="GD75" s="53"/>
      <c r="GE75" s="53"/>
      <c r="GF75" s="53"/>
      <c r="GG75" s="53"/>
      <c r="GH75" s="53"/>
      <c r="GI75" s="53"/>
      <c r="GJ75" s="53"/>
      <c r="GK75" s="53"/>
      <c r="GL75" s="53"/>
      <c r="GM75" s="53"/>
      <c r="GN75" s="53"/>
      <c r="GO75" s="93"/>
      <c r="GP75" s="53"/>
      <c r="GQ75" s="53"/>
      <c r="GR75" s="53"/>
      <c r="GS75" s="53"/>
      <c r="GT75" s="53"/>
      <c r="GU75" s="53"/>
      <c r="GV75" s="53"/>
      <c r="GW75" s="53"/>
      <c r="GX75" s="53"/>
      <c r="GY75" s="53"/>
      <c r="GZ75" s="53"/>
      <c r="HA75" s="53"/>
      <c r="HB75" s="93"/>
      <c r="HC75" s="49">
        <f t="shared" si="112"/>
        <v>14520</v>
      </c>
      <c r="HD75" s="53"/>
      <c r="HE75" s="53"/>
      <c r="HF75" s="53"/>
      <c r="HG75" s="53"/>
      <c r="HH75" s="53"/>
      <c r="HI75" s="53"/>
      <c r="HJ75" s="53"/>
      <c r="HK75" s="53"/>
      <c r="HL75" s="53"/>
      <c r="HM75" s="53"/>
      <c r="HN75" s="53"/>
      <c r="HO75" s="93"/>
      <c r="HP75" s="53"/>
      <c r="HQ75" s="53"/>
      <c r="HR75" s="53"/>
      <c r="HS75" s="53"/>
      <c r="HT75" s="53"/>
      <c r="HU75" s="53"/>
      <c r="HV75" s="53"/>
      <c r="HW75" s="53"/>
      <c r="HX75" s="53"/>
      <c r="HY75" s="53"/>
      <c r="HZ75" s="53"/>
      <c r="IA75" s="53"/>
      <c r="IB75" s="93"/>
      <c r="IC75" s="53"/>
      <c r="ID75" s="53"/>
      <c r="IE75" s="53"/>
      <c r="IF75" s="53"/>
      <c r="IG75" s="53"/>
      <c r="IH75" s="53"/>
      <c r="II75" s="53"/>
      <c r="IJ75" s="53"/>
      <c r="IK75" s="53"/>
      <c r="IL75" s="53"/>
      <c r="IM75" s="53"/>
      <c r="IN75" s="53"/>
      <c r="IO75" s="93"/>
      <c r="IP75" s="53"/>
      <c r="IQ75" s="53"/>
      <c r="IR75" s="53"/>
      <c r="IS75" s="53"/>
      <c r="IT75" s="53"/>
      <c r="IU75" s="53"/>
      <c r="IV75" s="53"/>
    </row>
    <row r="76" spans="2:256" ht="14.25" outlineLevel="2">
      <c r="B76" s="100" t="s">
        <v>486</v>
      </c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9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9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93"/>
      <c r="AP76" s="53"/>
      <c r="AQ76" s="53"/>
      <c r="AR76" s="53"/>
      <c r="AS76" s="53"/>
      <c r="AT76" s="53">
        <v>1684</v>
      </c>
      <c r="AU76" s="53"/>
      <c r="AV76" s="53"/>
      <c r="AW76" s="53"/>
      <c r="AX76" s="53"/>
      <c r="AY76" s="53"/>
      <c r="AZ76" s="53"/>
      <c r="BA76" s="53"/>
      <c r="BB76" s="93">
        <f>BA76+AZ76+AY76+AX76+AW76+AV76+AU76+AT76+AS76+AR76+AQ76+AP76</f>
        <v>1684</v>
      </c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9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93"/>
      <c r="CC76" s="53"/>
      <c r="CD76" s="53"/>
      <c r="CE76" s="53"/>
      <c r="CF76" s="53"/>
      <c r="CG76" s="53"/>
      <c r="CH76" s="53"/>
      <c r="CI76" s="53"/>
      <c r="CJ76" s="53"/>
      <c r="CK76" s="53"/>
      <c r="CL76" s="53"/>
      <c r="CM76" s="53"/>
      <c r="CN76" s="53"/>
      <c r="CO76" s="93"/>
      <c r="CP76" s="53"/>
      <c r="CQ76" s="53"/>
      <c r="CR76" s="53"/>
      <c r="CS76" s="53"/>
      <c r="CT76" s="53"/>
      <c r="CU76" s="53"/>
      <c r="CV76" s="53"/>
      <c r="CW76" s="53"/>
      <c r="CX76" s="53"/>
      <c r="CY76" s="53"/>
      <c r="CZ76" s="53"/>
      <c r="DA76" s="53"/>
      <c r="DB76" s="93"/>
      <c r="DC76" s="53"/>
      <c r="DD76" s="53"/>
      <c r="DE76" s="53"/>
      <c r="DF76" s="53"/>
      <c r="DG76" s="53"/>
      <c r="DH76" s="53"/>
      <c r="DI76" s="53"/>
      <c r="DJ76" s="53"/>
      <c r="DK76" s="53"/>
      <c r="DL76" s="53"/>
      <c r="DM76" s="53"/>
      <c r="DN76" s="53"/>
      <c r="DO76" s="93"/>
      <c r="DP76" s="53"/>
      <c r="DQ76" s="53"/>
      <c r="DR76" s="53"/>
      <c r="DS76" s="53"/>
      <c r="DT76" s="53"/>
      <c r="DU76" s="53"/>
      <c r="DV76" s="53"/>
      <c r="DW76" s="53"/>
      <c r="DX76" s="53"/>
      <c r="DY76" s="53"/>
      <c r="DZ76" s="53"/>
      <c r="EA76" s="53"/>
      <c r="EB76" s="93"/>
      <c r="EC76" s="53"/>
      <c r="ED76" s="53"/>
      <c r="EE76" s="53"/>
      <c r="EF76" s="53"/>
      <c r="EG76" s="53"/>
      <c r="EH76" s="53"/>
      <c r="EI76" s="53"/>
      <c r="EJ76" s="53"/>
      <c r="EK76" s="53"/>
      <c r="EL76" s="53"/>
      <c r="EM76" s="53"/>
      <c r="EN76" s="53"/>
      <c r="EO76" s="93"/>
      <c r="EP76" s="53"/>
      <c r="EQ76" s="53"/>
      <c r="ER76" s="53"/>
      <c r="ES76" s="53"/>
      <c r="ET76" s="53"/>
      <c r="EU76" s="53"/>
      <c r="EV76" s="53"/>
      <c r="EW76" s="53"/>
      <c r="EX76" s="53"/>
      <c r="EY76" s="53"/>
      <c r="EZ76" s="53"/>
      <c r="FA76" s="53"/>
      <c r="FB76" s="93"/>
      <c r="FC76" s="53"/>
      <c r="FD76" s="53"/>
      <c r="FE76" s="53"/>
      <c r="FF76" s="53"/>
      <c r="FG76" s="53"/>
      <c r="FH76" s="53"/>
      <c r="FI76" s="53"/>
      <c r="FJ76" s="53"/>
      <c r="FK76" s="53"/>
      <c r="FL76" s="53"/>
      <c r="FM76" s="53"/>
      <c r="FN76" s="53"/>
      <c r="FO76" s="93"/>
      <c r="FP76" s="53"/>
      <c r="FQ76" s="53"/>
      <c r="FR76" s="53"/>
      <c r="FS76" s="53"/>
      <c r="FT76" s="53"/>
      <c r="FU76" s="53"/>
      <c r="FV76" s="53"/>
      <c r="FW76" s="53"/>
      <c r="FX76" s="53"/>
      <c r="FY76" s="53"/>
      <c r="FZ76" s="53"/>
      <c r="GA76" s="53"/>
      <c r="GB76" s="93"/>
      <c r="GC76" s="54"/>
      <c r="GD76" s="53"/>
      <c r="GE76" s="53"/>
      <c r="GF76" s="53"/>
      <c r="GG76" s="53"/>
      <c r="GH76" s="53"/>
      <c r="GI76" s="53"/>
      <c r="GJ76" s="53"/>
      <c r="GK76" s="53"/>
      <c r="GL76" s="53"/>
      <c r="GM76" s="53"/>
      <c r="GN76" s="53"/>
      <c r="GO76" s="93"/>
      <c r="GP76" s="53"/>
      <c r="GQ76" s="53"/>
      <c r="GR76" s="53"/>
      <c r="GS76" s="53"/>
      <c r="GT76" s="53"/>
      <c r="GU76" s="53"/>
      <c r="GV76" s="53"/>
      <c r="GW76" s="53"/>
      <c r="GX76" s="53"/>
      <c r="GY76" s="53"/>
      <c r="GZ76" s="53"/>
      <c r="HA76" s="53"/>
      <c r="HB76" s="93"/>
      <c r="HC76" s="49">
        <f t="shared" si="112"/>
        <v>1684</v>
      </c>
      <c r="HD76" s="53"/>
      <c r="HE76" s="53"/>
      <c r="HF76" s="53"/>
      <c r="HG76" s="53"/>
      <c r="HH76" s="53"/>
      <c r="HI76" s="53"/>
      <c r="HJ76" s="53"/>
      <c r="HK76" s="53"/>
      <c r="HL76" s="53"/>
      <c r="HM76" s="53"/>
      <c r="HN76" s="53"/>
      <c r="HO76" s="93"/>
      <c r="HP76" s="53"/>
      <c r="HQ76" s="53"/>
      <c r="HR76" s="53"/>
      <c r="HS76" s="53"/>
      <c r="HT76" s="53"/>
      <c r="HU76" s="53"/>
      <c r="HV76" s="53"/>
      <c r="HW76" s="53"/>
      <c r="HX76" s="53"/>
      <c r="HY76" s="53"/>
      <c r="HZ76" s="53"/>
      <c r="IA76" s="53"/>
      <c r="IB76" s="93"/>
      <c r="IC76" s="53"/>
      <c r="ID76" s="53"/>
      <c r="IE76" s="53"/>
      <c r="IF76" s="53"/>
      <c r="IG76" s="53"/>
      <c r="IH76" s="53"/>
      <c r="II76" s="53"/>
      <c r="IJ76" s="53"/>
      <c r="IK76" s="53"/>
      <c r="IL76" s="53"/>
      <c r="IM76" s="53"/>
      <c r="IN76" s="53"/>
      <c r="IO76" s="93"/>
      <c r="IP76" s="53"/>
      <c r="IQ76" s="53"/>
      <c r="IR76" s="53"/>
      <c r="IS76" s="53"/>
      <c r="IT76" s="53"/>
      <c r="IU76" s="53"/>
      <c r="IV76" s="53"/>
    </row>
    <row r="77" spans="2:256" ht="14.25" outlineLevel="2">
      <c r="B77" s="100" t="s">
        <v>487</v>
      </c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9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9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93"/>
      <c r="AP77" s="53"/>
      <c r="AQ77" s="53"/>
      <c r="AR77" s="53"/>
      <c r="AS77" s="53"/>
      <c r="AT77" s="53"/>
      <c r="AU77" s="53"/>
      <c r="AV77" s="53"/>
      <c r="AW77" s="53">
        <v>1684</v>
      </c>
      <c r="AX77" s="53"/>
      <c r="AY77" s="53"/>
      <c r="AZ77" s="53"/>
      <c r="BA77" s="53"/>
      <c r="BB77" s="93">
        <f>BA77+AZ77+AY77+AX77+AW77+AV77+AU77+AT77+AS77+AR77+AQ77+AP77</f>
        <v>1684</v>
      </c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9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/>
      <c r="CB77" s="93"/>
      <c r="CC77" s="53"/>
      <c r="CD77" s="53"/>
      <c r="CE77" s="53"/>
      <c r="CF77" s="53"/>
      <c r="CG77" s="53"/>
      <c r="CH77" s="53"/>
      <c r="CI77" s="53"/>
      <c r="CJ77" s="53"/>
      <c r="CK77" s="53"/>
      <c r="CL77" s="53"/>
      <c r="CM77" s="53"/>
      <c r="CN77" s="53"/>
      <c r="CO77" s="93"/>
      <c r="CP77" s="53"/>
      <c r="CQ77" s="53"/>
      <c r="CR77" s="53"/>
      <c r="CS77" s="53"/>
      <c r="CT77" s="53"/>
      <c r="CU77" s="53"/>
      <c r="CV77" s="53"/>
      <c r="CW77" s="53"/>
      <c r="CX77" s="53"/>
      <c r="CY77" s="53"/>
      <c r="CZ77" s="53"/>
      <c r="DA77" s="53"/>
      <c r="DB77" s="93"/>
      <c r="DC77" s="53"/>
      <c r="DD77" s="53"/>
      <c r="DE77" s="53"/>
      <c r="DF77" s="53"/>
      <c r="DG77" s="53"/>
      <c r="DH77" s="53"/>
      <c r="DI77" s="53"/>
      <c r="DJ77" s="53"/>
      <c r="DK77" s="53"/>
      <c r="DL77" s="53"/>
      <c r="DM77" s="53"/>
      <c r="DN77" s="53"/>
      <c r="DO77" s="93"/>
      <c r="DP77" s="53"/>
      <c r="DQ77" s="53"/>
      <c r="DR77" s="53"/>
      <c r="DS77" s="53"/>
      <c r="DT77" s="53"/>
      <c r="DU77" s="53"/>
      <c r="DV77" s="53"/>
      <c r="DW77" s="53"/>
      <c r="DX77" s="53"/>
      <c r="DY77" s="53"/>
      <c r="DZ77" s="53"/>
      <c r="EA77" s="53"/>
      <c r="EB77" s="93"/>
      <c r="EC77" s="53"/>
      <c r="ED77" s="53"/>
      <c r="EE77" s="53"/>
      <c r="EF77" s="53"/>
      <c r="EG77" s="53"/>
      <c r="EH77" s="53"/>
      <c r="EI77" s="53"/>
      <c r="EJ77" s="53"/>
      <c r="EK77" s="53"/>
      <c r="EL77" s="53"/>
      <c r="EM77" s="53"/>
      <c r="EN77" s="53"/>
      <c r="EO77" s="93"/>
      <c r="EP77" s="53"/>
      <c r="EQ77" s="53"/>
      <c r="ER77" s="53"/>
      <c r="ES77" s="53"/>
      <c r="ET77" s="53"/>
      <c r="EU77" s="53"/>
      <c r="EV77" s="53"/>
      <c r="EW77" s="53"/>
      <c r="EX77" s="53"/>
      <c r="EY77" s="53"/>
      <c r="EZ77" s="53"/>
      <c r="FA77" s="53"/>
      <c r="FB77" s="93"/>
      <c r="FC77" s="53"/>
      <c r="FD77" s="53"/>
      <c r="FE77" s="53"/>
      <c r="FF77" s="53"/>
      <c r="FG77" s="53"/>
      <c r="FH77" s="53"/>
      <c r="FI77" s="53"/>
      <c r="FJ77" s="53"/>
      <c r="FK77" s="53"/>
      <c r="FL77" s="53"/>
      <c r="FM77" s="53"/>
      <c r="FN77" s="53"/>
      <c r="FO77" s="93"/>
      <c r="FP77" s="53"/>
      <c r="FQ77" s="53"/>
      <c r="FR77" s="53"/>
      <c r="FS77" s="53"/>
      <c r="FT77" s="53"/>
      <c r="FU77" s="53"/>
      <c r="FV77" s="53"/>
      <c r="FW77" s="53"/>
      <c r="FX77" s="53"/>
      <c r="FY77" s="53"/>
      <c r="FZ77" s="53"/>
      <c r="GA77" s="53"/>
      <c r="GB77" s="93"/>
      <c r="GC77" s="54"/>
      <c r="GD77" s="53"/>
      <c r="GE77" s="53"/>
      <c r="GF77" s="53"/>
      <c r="GG77" s="53"/>
      <c r="GH77" s="53"/>
      <c r="GI77" s="53"/>
      <c r="GJ77" s="53"/>
      <c r="GK77" s="53"/>
      <c r="GL77" s="53"/>
      <c r="GM77" s="53"/>
      <c r="GN77" s="53"/>
      <c r="GO77" s="93"/>
      <c r="GP77" s="53"/>
      <c r="GQ77" s="53"/>
      <c r="GR77" s="53"/>
      <c r="GS77" s="53"/>
      <c r="GT77" s="53"/>
      <c r="GU77" s="53"/>
      <c r="GV77" s="53"/>
      <c r="GW77" s="53"/>
      <c r="GX77" s="53"/>
      <c r="GY77" s="53"/>
      <c r="GZ77" s="53"/>
      <c r="HA77" s="53"/>
      <c r="HB77" s="93"/>
      <c r="HC77" s="49">
        <f t="shared" si="112"/>
        <v>1684</v>
      </c>
      <c r="HD77" s="53"/>
      <c r="HE77" s="53"/>
      <c r="HF77" s="53"/>
      <c r="HG77" s="53"/>
      <c r="HH77" s="53"/>
      <c r="HI77" s="53"/>
      <c r="HJ77" s="53"/>
      <c r="HK77" s="53"/>
      <c r="HL77" s="53"/>
      <c r="HM77" s="53"/>
      <c r="HN77" s="53"/>
      <c r="HO77" s="93"/>
      <c r="HP77" s="53"/>
      <c r="HQ77" s="53"/>
      <c r="HR77" s="53"/>
      <c r="HS77" s="53"/>
      <c r="HT77" s="53"/>
      <c r="HU77" s="53"/>
      <c r="HV77" s="53"/>
      <c r="HW77" s="53"/>
      <c r="HX77" s="53"/>
      <c r="HY77" s="53"/>
      <c r="HZ77" s="53"/>
      <c r="IA77" s="53"/>
      <c r="IB77" s="93"/>
      <c r="IC77" s="53"/>
      <c r="ID77" s="53"/>
      <c r="IE77" s="53"/>
      <c r="IF77" s="53"/>
      <c r="IG77" s="53"/>
      <c r="IH77" s="53"/>
      <c r="II77" s="53"/>
      <c r="IJ77" s="53"/>
      <c r="IK77" s="53"/>
      <c r="IL77" s="53"/>
      <c r="IM77" s="53"/>
      <c r="IN77" s="53"/>
      <c r="IO77" s="93"/>
      <c r="IP77" s="53"/>
      <c r="IQ77" s="53"/>
      <c r="IR77" s="53"/>
      <c r="IS77" s="53"/>
      <c r="IT77" s="53"/>
      <c r="IU77" s="53"/>
      <c r="IV77" s="53"/>
    </row>
    <row r="78" spans="2:256" ht="14.25" outlineLevel="2">
      <c r="B78" s="100" t="s">
        <v>488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93"/>
      <c r="P78" s="53"/>
      <c r="Q78" s="53"/>
      <c r="R78" s="53"/>
      <c r="S78" s="53"/>
      <c r="T78" s="53">
        <v>1250</v>
      </c>
      <c r="U78" s="53"/>
      <c r="V78" s="53"/>
      <c r="W78" s="53"/>
      <c r="X78" s="53"/>
      <c r="Y78" s="53"/>
      <c r="Z78" s="53"/>
      <c r="AA78" s="53"/>
      <c r="AB78" s="93">
        <f>AA78+Z78+Y78+X78+W78+V78+U78+T78+S78+R78+Q78+P78</f>
        <v>1250</v>
      </c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9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9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9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/>
      <c r="CB78" s="93"/>
      <c r="CC78" s="53"/>
      <c r="CD78" s="53"/>
      <c r="CE78" s="53"/>
      <c r="CF78" s="53"/>
      <c r="CG78" s="53">
        <v>1250</v>
      </c>
      <c r="CH78" s="53"/>
      <c r="CI78" s="53"/>
      <c r="CJ78" s="53"/>
      <c r="CK78" s="53"/>
      <c r="CL78" s="53"/>
      <c r="CM78" s="53"/>
      <c r="CN78" s="53"/>
      <c r="CO78" s="93">
        <f>CN78+CM78+CL78+CK78+CJ78+CI78+CH78+CG78+CF78+CE78+CD78+CC78</f>
        <v>1250</v>
      </c>
      <c r="CP78" s="53"/>
      <c r="CQ78" s="53"/>
      <c r="CR78" s="53"/>
      <c r="CS78" s="53"/>
      <c r="CT78" s="53"/>
      <c r="CU78" s="53"/>
      <c r="CV78" s="53"/>
      <c r="CW78" s="53"/>
      <c r="CX78" s="53"/>
      <c r="CY78" s="53"/>
      <c r="CZ78" s="53"/>
      <c r="DA78" s="53"/>
      <c r="DB78" s="93"/>
      <c r="DC78" s="53"/>
      <c r="DD78" s="53"/>
      <c r="DE78" s="53"/>
      <c r="DF78" s="53"/>
      <c r="DG78" s="53"/>
      <c r="DH78" s="53"/>
      <c r="DI78" s="53"/>
      <c r="DJ78" s="53"/>
      <c r="DK78" s="53"/>
      <c r="DL78" s="53"/>
      <c r="DM78" s="53"/>
      <c r="DN78" s="53"/>
      <c r="DO78" s="93"/>
      <c r="DP78" s="53"/>
      <c r="DQ78" s="53"/>
      <c r="DR78" s="53"/>
      <c r="DS78" s="53"/>
      <c r="DT78" s="53"/>
      <c r="DU78" s="53"/>
      <c r="DV78" s="53"/>
      <c r="DW78" s="53"/>
      <c r="DX78" s="53"/>
      <c r="DY78" s="53"/>
      <c r="DZ78" s="53"/>
      <c r="EA78" s="53"/>
      <c r="EB78" s="93"/>
      <c r="EC78" s="53"/>
      <c r="ED78" s="53"/>
      <c r="EE78" s="53"/>
      <c r="EF78" s="53"/>
      <c r="EG78" s="53"/>
      <c r="EH78" s="53"/>
      <c r="EI78" s="53"/>
      <c r="EJ78" s="53"/>
      <c r="EK78" s="53"/>
      <c r="EL78" s="53"/>
      <c r="EM78" s="53"/>
      <c r="EN78" s="53"/>
      <c r="EO78" s="93"/>
      <c r="EP78" s="53"/>
      <c r="EQ78" s="53"/>
      <c r="ER78" s="53"/>
      <c r="ES78" s="53"/>
      <c r="ET78" s="53">
        <v>1250</v>
      </c>
      <c r="EU78" s="53"/>
      <c r="EV78" s="53"/>
      <c r="EW78" s="53"/>
      <c r="EX78" s="53"/>
      <c r="EY78" s="53"/>
      <c r="EZ78" s="53"/>
      <c r="FA78" s="53"/>
      <c r="FB78" s="93">
        <f>FA78+EZ78+EY78+EX78+EW78+EV78+EU78+ET78+ES78+ER78+EQ78+EP78</f>
        <v>1250</v>
      </c>
      <c r="FC78" s="53"/>
      <c r="FD78" s="53"/>
      <c r="FE78" s="53"/>
      <c r="FF78" s="53"/>
      <c r="FG78" s="53"/>
      <c r="FH78" s="53"/>
      <c r="FI78" s="53"/>
      <c r="FJ78" s="53"/>
      <c r="FK78" s="53"/>
      <c r="FL78" s="53"/>
      <c r="FM78" s="53"/>
      <c r="FN78" s="53"/>
      <c r="FO78" s="93"/>
      <c r="FP78" s="53"/>
      <c r="FQ78" s="53"/>
      <c r="FR78" s="53"/>
      <c r="FS78" s="53"/>
      <c r="FT78" s="53"/>
      <c r="FU78" s="53"/>
      <c r="FV78" s="53"/>
      <c r="FW78" s="53"/>
      <c r="FX78" s="53"/>
      <c r="FY78" s="53"/>
      <c r="FZ78" s="53"/>
      <c r="GA78" s="53"/>
      <c r="GB78" s="93"/>
      <c r="GC78" s="54"/>
      <c r="GD78" s="53"/>
      <c r="GE78" s="53"/>
      <c r="GF78" s="53"/>
      <c r="GG78" s="53"/>
      <c r="GH78" s="53"/>
      <c r="GI78" s="53"/>
      <c r="GJ78" s="53"/>
      <c r="GK78" s="53"/>
      <c r="GL78" s="53"/>
      <c r="GM78" s="53"/>
      <c r="GN78" s="53"/>
      <c r="GO78" s="93"/>
      <c r="GP78" s="53"/>
      <c r="GQ78" s="53"/>
      <c r="GR78" s="53"/>
      <c r="GS78" s="53"/>
      <c r="GT78" s="53"/>
      <c r="GU78" s="53"/>
      <c r="GV78" s="53"/>
      <c r="GW78" s="53"/>
      <c r="GX78" s="53"/>
      <c r="GY78" s="53"/>
      <c r="GZ78" s="53"/>
      <c r="HA78" s="53"/>
      <c r="HB78" s="93"/>
      <c r="HC78" s="49">
        <f t="shared" si="112"/>
        <v>3750</v>
      </c>
      <c r="HD78" s="53"/>
      <c r="HE78" s="53"/>
      <c r="HF78" s="53"/>
      <c r="HG78" s="53"/>
      <c r="HH78" s="53"/>
      <c r="HI78" s="53"/>
      <c r="HJ78" s="53"/>
      <c r="HK78" s="53"/>
      <c r="HL78" s="53"/>
      <c r="HM78" s="53"/>
      <c r="HN78" s="53"/>
      <c r="HO78" s="93"/>
      <c r="HP78" s="53"/>
      <c r="HQ78" s="53"/>
      <c r="HR78" s="53"/>
      <c r="HS78" s="53"/>
      <c r="HT78" s="53"/>
      <c r="HU78" s="53"/>
      <c r="HV78" s="53"/>
      <c r="HW78" s="53"/>
      <c r="HX78" s="53"/>
      <c r="HY78" s="53"/>
      <c r="HZ78" s="53"/>
      <c r="IA78" s="53"/>
      <c r="IB78" s="93"/>
      <c r="IC78" s="53"/>
      <c r="ID78" s="53"/>
      <c r="IE78" s="53"/>
      <c r="IF78" s="53"/>
      <c r="IG78" s="53"/>
      <c r="IH78" s="53"/>
      <c r="II78" s="53"/>
      <c r="IJ78" s="53"/>
      <c r="IK78" s="53"/>
      <c r="IL78" s="53"/>
      <c r="IM78" s="53"/>
      <c r="IN78" s="53"/>
      <c r="IO78" s="93"/>
      <c r="IP78" s="53"/>
      <c r="IQ78" s="53"/>
      <c r="IR78" s="53"/>
      <c r="IS78" s="53"/>
      <c r="IT78" s="53"/>
      <c r="IU78" s="53"/>
      <c r="IV78" s="53"/>
    </row>
    <row r="79" spans="2:256" ht="14.25" outlineLevel="2">
      <c r="B79" s="100" t="s">
        <v>489</v>
      </c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93"/>
      <c r="P79" s="53"/>
      <c r="Q79" s="53"/>
      <c r="R79" s="53"/>
      <c r="S79" s="53"/>
      <c r="T79" s="53"/>
      <c r="U79" s="53"/>
      <c r="V79" s="53"/>
      <c r="W79" s="53">
        <v>1250</v>
      </c>
      <c r="X79" s="53"/>
      <c r="Y79" s="53"/>
      <c r="Z79" s="53"/>
      <c r="AA79" s="53"/>
      <c r="AB79" s="93">
        <f>AA79+Z79+Y79+X79+W79+V79+U79+T79+S79+R79+Q79+P79</f>
        <v>1250</v>
      </c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9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9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93"/>
      <c r="BP79" s="53"/>
      <c r="BQ79" s="53"/>
      <c r="BR79" s="53"/>
      <c r="BS79" s="53"/>
      <c r="BT79" s="53"/>
      <c r="BU79" s="53"/>
      <c r="BV79" s="53"/>
      <c r="BW79" s="53"/>
      <c r="BX79" s="53"/>
      <c r="BY79" s="53"/>
      <c r="BZ79" s="53"/>
      <c r="CA79" s="53"/>
      <c r="CB79" s="93"/>
      <c r="CC79" s="53"/>
      <c r="CD79" s="53"/>
      <c r="CE79" s="53"/>
      <c r="CF79" s="53"/>
      <c r="CG79" s="53"/>
      <c r="CH79" s="53"/>
      <c r="CI79" s="53"/>
      <c r="CJ79" s="53">
        <v>1250</v>
      </c>
      <c r="CK79" s="53"/>
      <c r="CL79" s="53"/>
      <c r="CM79" s="53"/>
      <c r="CN79" s="53"/>
      <c r="CO79" s="93">
        <f>CN79+CM79+CL79+CK79+CJ79+CI79+CH79+CG79+CF79+CE79+CD79+CC79</f>
        <v>1250</v>
      </c>
      <c r="CP79" s="53"/>
      <c r="CQ79" s="53"/>
      <c r="CR79" s="53"/>
      <c r="CS79" s="53"/>
      <c r="CT79" s="53"/>
      <c r="CU79" s="53"/>
      <c r="CV79" s="53"/>
      <c r="CW79" s="53"/>
      <c r="CX79" s="53"/>
      <c r="CY79" s="53"/>
      <c r="CZ79" s="53"/>
      <c r="DA79" s="53"/>
      <c r="DB79" s="93"/>
      <c r="DC79" s="53"/>
      <c r="DD79" s="53"/>
      <c r="DE79" s="53"/>
      <c r="DF79" s="53"/>
      <c r="DG79" s="53"/>
      <c r="DH79" s="53"/>
      <c r="DI79" s="53"/>
      <c r="DJ79" s="53"/>
      <c r="DK79" s="53"/>
      <c r="DL79" s="53"/>
      <c r="DM79" s="53"/>
      <c r="DN79" s="53"/>
      <c r="DO79" s="93"/>
      <c r="DP79" s="53"/>
      <c r="DQ79" s="53"/>
      <c r="DR79" s="53"/>
      <c r="DS79" s="53"/>
      <c r="DT79" s="53"/>
      <c r="DU79" s="53"/>
      <c r="DV79" s="53"/>
      <c r="DW79" s="53"/>
      <c r="DX79" s="53"/>
      <c r="DY79" s="53"/>
      <c r="DZ79" s="53"/>
      <c r="EA79" s="53"/>
      <c r="EB79" s="93"/>
      <c r="EC79" s="53"/>
      <c r="ED79" s="53"/>
      <c r="EE79" s="53"/>
      <c r="EF79" s="53"/>
      <c r="EG79" s="53"/>
      <c r="EH79" s="53"/>
      <c r="EI79" s="53"/>
      <c r="EJ79" s="53"/>
      <c r="EK79" s="53"/>
      <c r="EL79" s="53"/>
      <c r="EM79" s="53"/>
      <c r="EN79" s="53"/>
      <c r="EO79" s="93"/>
      <c r="EP79" s="53"/>
      <c r="EQ79" s="53"/>
      <c r="ER79" s="53"/>
      <c r="ES79" s="53"/>
      <c r="ET79" s="53"/>
      <c r="EU79" s="53"/>
      <c r="EV79" s="53"/>
      <c r="EW79" s="53">
        <v>1250</v>
      </c>
      <c r="EX79" s="53"/>
      <c r="EY79" s="53"/>
      <c r="EZ79" s="53"/>
      <c r="FA79" s="53"/>
      <c r="FB79" s="93">
        <f>FA79+EZ79+EY79+EX79+EW79+EV79+EU79+ET79+ES79+ER79+EQ79+EP79</f>
        <v>1250</v>
      </c>
      <c r="FC79" s="53"/>
      <c r="FD79" s="53"/>
      <c r="FE79" s="53"/>
      <c r="FF79" s="53"/>
      <c r="FG79" s="53"/>
      <c r="FH79" s="53"/>
      <c r="FI79" s="53"/>
      <c r="FJ79" s="53"/>
      <c r="FK79" s="53"/>
      <c r="FL79" s="53"/>
      <c r="FM79" s="53"/>
      <c r="FN79" s="53"/>
      <c r="FO79" s="93"/>
      <c r="FP79" s="53"/>
      <c r="FQ79" s="53"/>
      <c r="FR79" s="53"/>
      <c r="FS79" s="53"/>
      <c r="FT79" s="53"/>
      <c r="FU79" s="53"/>
      <c r="FV79" s="53"/>
      <c r="FW79" s="53"/>
      <c r="FX79" s="53"/>
      <c r="FY79" s="53"/>
      <c r="FZ79" s="53"/>
      <c r="GA79" s="53"/>
      <c r="GB79" s="93"/>
      <c r="GC79" s="53"/>
      <c r="GD79" s="53"/>
      <c r="GE79" s="53"/>
      <c r="GF79" s="53"/>
      <c r="GG79" s="53"/>
      <c r="GH79" s="53"/>
      <c r="GI79" s="53"/>
      <c r="GJ79" s="53"/>
      <c r="GK79" s="53"/>
      <c r="GL79" s="53"/>
      <c r="GM79" s="53"/>
      <c r="GN79" s="53"/>
      <c r="GO79" s="93"/>
      <c r="GP79" s="53"/>
      <c r="GQ79" s="53"/>
      <c r="GR79" s="53"/>
      <c r="GS79" s="53"/>
      <c r="GT79" s="53"/>
      <c r="GU79" s="53"/>
      <c r="GV79" s="53"/>
      <c r="GW79" s="53"/>
      <c r="GX79" s="53"/>
      <c r="GY79" s="53"/>
      <c r="GZ79" s="53"/>
      <c r="HA79" s="53"/>
      <c r="HB79" s="93"/>
      <c r="HC79" s="49">
        <f t="shared" si="112"/>
        <v>3750</v>
      </c>
      <c r="HD79" s="53"/>
      <c r="HE79" s="53"/>
      <c r="HF79" s="53"/>
      <c r="HG79" s="53"/>
      <c r="HH79" s="53"/>
      <c r="HI79" s="53"/>
      <c r="HJ79" s="53"/>
      <c r="HK79" s="53"/>
      <c r="HL79" s="53"/>
      <c r="HM79" s="53"/>
      <c r="HN79" s="53"/>
      <c r="HO79" s="93"/>
      <c r="HP79" s="53"/>
      <c r="HQ79" s="53"/>
      <c r="HR79" s="53"/>
      <c r="HS79" s="53"/>
      <c r="HT79" s="53"/>
      <c r="HU79" s="53"/>
      <c r="HV79" s="53"/>
      <c r="HW79" s="53"/>
      <c r="HX79" s="53"/>
      <c r="HY79" s="53"/>
      <c r="HZ79" s="53"/>
      <c r="IA79" s="53"/>
      <c r="IB79" s="93"/>
      <c r="IC79" s="53"/>
      <c r="ID79" s="53"/>
      <c r="IE79" s="53"/>
      <c r="IF79" s="53"/>
      <c r="IG79" s="53"/>
      <c r="IH79" s="53"/>
      <c r="II79" s="53"/>
      <c r="IJ79" s="53"/>
      <c r="IK79" s="53"/>
      <c r="IL79" s="53"/>
      <c r="IM79" s="53"/>
      <c r="IN79" s="53"/>
      <c r="IO79" s="93"/>
      <c r="IP79" s="53"/>
      <c r="IQ79" s="53"/>
      <c r="IR79" s="53"/>
      <c r="IS79" s="53"/>
      <c r="IT79" s="53"/>
      <c r="IU79" s="53"/>
      <c r="IV79" s="53"/>
    </row>
    <row r="80" spans="2:256" ht="14.25" outlineLevel="2">
      <c r="B80" s="100" t="s">
        <v>490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9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93"/>
      <c r="AC80" s="53"/>
      <c r="AD80" s="53"/>
      <c r="AE80" s="53"/>
      <c r="AF80" s="53"/>
      <c r="AG80" s="53">
        <v>250</v>
      </c>
      <c r="AH80" s="53"/>
      <c r="AI80" s="53"/>
      <c r="AJ80" s="53"/>
      <c r="AK80" s="53"/>
      <c r="AL80" s="53"/>
      <c r="AM80" s="53"/>
      <c r="AN80" s="53"/>
      <c r="AO80" s="93">
        <f>AN80+AM80+AL80+AK80+AJ80+AI80+AH80+AG80+AF80+AE80+AD80+AC80</f>
        <v>250</v>
      </c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9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93"/>
      <c r="BP80" s="53"/>
      <c r="BQ80" s="53"/>
      <c r="BR80" s="53"/>
      <c r="BS80" s="53"/>
      <c r="BT80" s="53"/>
      <c r="BU80" s="53"/>
      <c r="BV80" s="53"/>
      <c r="BW80" s="53"/>
      <c r="BX80" s="53"/>
      <c r="BY80" s="53"/>
      <c r="BZ80" s="53"/>
      <c r="CA80" s="53"/>
      <c r="CB80" s="93"/>
      <c r="CC80" s="53"/>
      <c r="CD80" s="53"/>
      <c r="CE80" s="53"/>
      <c r="CF80" s="53"/>
      <c r="CG80" s="53"/>
      <c r="CH80" s="53"/>
      <c r="CI80" s="53"/>
      <c r="CJ80" s="53"/>
      <c r="CK80" s="53"/>
      <c r="CL80" s="53"/>
      <c r="CM80" s="53"/>
      <c r="CN80" s="53"/>
      <c r="CO80" s="93"/>
      <c r="CP80" s="53"/>
      <c r="CQ80" s="53"/>
      <c r="CR80" s="53"/>
      <c r="CS80" s="53"/>
      <c r="CT80" s="53"/>
      <c r="CU80" s="53"/>
      <c r="CV80" s="53"/>
      <c r="CW80" s="53"/>
      <c r="CX80" s="53"/>
      <c r="CY80" s="53"/>
      <c r="CZ80" s="53"/>
      <c r="DA80" s="53"/>
      <c r="DB80" s="93"/>
      <c r="DC80" s="53"/>
      <c r="DD80" s="53"/>
      <c r="DE80" s="53"/>
      <c r="DF80" s="53"/>
      <c r="DG80" s="53"/>
      <c r="DH80" s="53"/>
      <c r="DI80" s="53"/>
      <c r="DJ80" s="53"/>
      <c r="DK80" s="53"/>
      <c r="DL80" s="53"/>
      <c r="DM80" s="53"/>
      <c r="DN80" s="53"/>
      <c r="DO80" s="93"/>
      <c r="DP80" s="53"/>
      <c r="DQ80" s="53"/>
      <c r="DR80" s="53"/>
      <c r="DS80" s="53"/>
      <c r="DT80" s="53"/>
      <c r="DU80" s="53"/>
      <c r="DV80" s="53"/>
      <c r="DW80" s="53"/>
      <c r="DX80" s="53"/>
      <c r="DY80" s="53"/>
      <c r="DZ80" s="53"/>
      <c r="EA80" s="53"/>
      <c r="EB80" s="93"/>
      <c r="EC80" s="53"/>
      <c r="ED80" s="53"/>
      <c r="EE80" s="53"/>
      <c r="EF80" s="53"/>
      <c r="EG80" s="53"/>
      <c r="EH80" s="53"/>
      <c r="EI80" s="53"/>
      <c r="EJ80" s="53"/>
      <c r="EK80" s="53"/>
      <c r="EL80" s="53"/>
      <c r="EM80" s="53"/>
      <c r="EN80" s="53"/>
      <c r="EO80" s="93"/>
      <c r="EP80" s="53"/>
      <c r="EQ80" s="53"/>
      <c r="ER80" s="53"/>
      <c r="ES80" s="53"/>
      <c r="ET80" s="53"/>
      <c r="EU80" s="53"/>
      <c r="EV80" s="53"/>
      <c r="EW80" s="53"/>
      <c r="EX80" s="53"/>
      <c r="EY80" s="53"/>
      <c r="EZ80" s="53"/>
      <c r="FA80" s="53"/>
      <c r="FB80" s="93"/>
      <c r="FC80" s="53"/>
      <c r="FD80" s="53"/>
      <c r="FE80" s="53"/>
      <c r="FF80" s="53"/>
      <c r="FG80" s="53"/>
      <c r="FH80" s="53"/>
      <c r="FI80" s="53"/>
      <c r="FJ80" s="53"/>
      <c r="FK80" s="53"/>
      <c r="FL80" s="53"/>
      <c r="FM80" s="53"/>
      <c r="FN80" s="53"/>
      <c r="FO80" s="93"/>
      <c r="FP80" s="53"/>
      <c r="FQ80" s="53"/>
      <c r="FR80" s="53"/>
      <c r="FS80" s="53"/>
      <c r="FT80" s="53"/>
      <c r="FU80" s="53"/>
      <c r="FV80" s="53"/>
      <c r="FW80" s="53"/>
      <c r="FX80" s="53"/>
      <c r="FY80" s="53"/>
      <c r="FZ80" s="53"/>
      <c r="GA80" s="53"/>
      <c r="GB80" s="93"/>
      <c r="GC80" s="54"/>
      <c r="GD80" s="53"/>
      <c r="GE80" s="53"/>
      <c r="GF80" s="53"/>
      <c r="GG80" s="53"/>
      <c r="GH80" s="53"/>
      <c r="GI80" s="53"/>
      <c r="GJ80" s="53"/>
      <c r="GK80" s="53"/>
      <c r="GL80" s="53"/>
      <c r="GM80" s="53"/>
      <c r="GN80" s="53"/>
      <c r="GO80" s="93"/>
      <c r="GP80" s="53"/>
      <c r="GQ80" s="53"/>
      <c r="GR80" s="53"/>
      <c r="GS80" s="53"/>
      <c r="GT80" s="53"/>
      <c r="GU80" s="53"/>
      <c r="GV80" s="53"/>
      <c r="GW80" s="53"/>
      <c r="GX80" s="53"/>
      <c r="GY80" s="53"/>
      <c r="GZ80" s="53"/>
      <c r="HA80" s="53"/>
      <c r="HB80" s="93"/>
      <c r="HC80" s="49">
        <f t="shared" si="112"/>
        <v>250</v>
      </c>
      <c r="HD80" s="53"/>
      <c r="HE80" s="53"/>
      <c r="HF80" s="53"/>
      <c r="HG80" s="53"/>
      <c r="HH80" s="53"/>
      <c r="HI80" s="53"/>
      <c r="HJ80" s="53"/>
      <c r="HK80" s="53"/>
      <c r="HL80" s="53"/>
      <c r="HM80" s="53"/>
      <c r="HN80" s="53"/>
      <c r="HO80" s="93"/>
      <c r="HP80" s="53"/>
      <c r="HQ80" s="53"/>
      <c r="HR80" s="53"/>
      <c r="HS80" s="53"/>
      <c r="HT80" s="53"/>
      <c r="HU80" s="53"/>
      <c r="HV80" s="53"/>
      <c r="HW80" s="53"/>
      <c r="HX80" s="53"/>
      <c r="HY80" s="53"/>
      <c r="HZ80" s="53"/>
      <c r="IA80" s="53"/>
      <c r="IB80" s="93"/>
      <c r="IC80" s="53"/>
      <c r="ID80" s="53"/>
      <c r="IE80" s="53"/>
      <c r="IF80" s="53"/>
      <c r="IG80" s="53"/>
      <c r="IH80" s="53"/>
      <c r="II80" s="53"/>
      <c r="IJ80" s="53"/>
      <c r="IK80" s="53"/>
      <c r="IL80" s="53"/>
      <c r="IM80" s="53"/>
      <c r="IN80" s="53"/>
      <c r="IO80" s="93"/>
      <c r="IP80" s="53"/>
      <c r="IQ80" s="53"/>
      <c r="IR80" s="53"/>
      <c r="IS80" s="53"/>
      <c r="IT80" s="53"/>
      <c r="IU80" s="53"/>
      <c r="IV80" s="53"/>
    </row>
    <row r="81" spans="2:256" ht="14.25" outlineLevel="2">
      <c r="B81" s="100" t="s">
        <v>491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9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93"/>
      <c r="AC81" s="53"/>
      <c r="AD81" s="53"/>
      <c r="AE81" s="53"/>
      <c r="AF81" s="53"/>
      <c r="AG81" s="53"/>
      <c r="AH81" s="53"/>
      <c r="AI81" s="53"/>
      <c r="AJ81" s="53">
        <v>250</v>
      </c>
      <c r="AK81" s="53"/>
      <c r="AL81" s="53"/>
      <c r="AM81" s="53"/>
      <c r="AN81" s="53"/>
      <c r="AO81" s="93">
        <f>AN81+AM81+AL81+AK81+AJ81+AI81+AH81+AG81+AF81+AE81+AD81+AC81</f>
        <v>250</v>
      </c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9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93"/>
      <c r="BP81" s="53"/>
      <c r="BQ81" s="53"/>
      <c r="BR81" s="53"/>
      <c r="BS81" s="53"/>
      <c r="BT81" s="53"/>
      <c r="BU81" s="53"/>
      <c r="BV81" s="53"/>
      <c r="BW81" s="53"/>
      <c r="BX81" s="53"/>
      <c r="BY81" s="53"/>
      <c r="BZ81" s="53"/>
      <c r="CA81" s="53"/>
      <c r="CB81" s="93"/>
      <c r="CC81" s="53"/>
      <c r="CD81" s="53"/>
      <c r="CE81" s="53"/>
      <c r="CF81" s="53"/>
      <c r="CG81" s="53"/>
      <c r="CH81" s="53"/>
      <c r="CI81" s="53"/>
      <c r="CJ81" s="53"/>
      <c r="CK81" s="53"/>
      <c r="CL81" s="53"/>
      <c r="CM81" s="53"/>
      <c r="CN81" s="53"/>
      <c r="CO81" s="93"/>
      <c r="CP81" s="53"/>
      <c r="CQ81" s="53"/>
      <c r="CR81" s="53"/>
      <c r="CS81" s="53"/>
      <c r="CT81" s="53"/>
      <c r="CU81" s="53"/>
      <c r="CV81" s="53"/>
      <c r="CW81" s="53"/>
      <c r="CX81" s="53"/>
      <c r="CY81" s="53"/>
      <c r="CZ81" s="53"/>
      <c r="DA81" s="53"/>
      <c r="DB81" s="93"/>
      <c r="DC81" s="53"/>
      <c r="DD81" s="53"/>
      <c r="DE81" s="53"/>
      <c r="DF81" s="53"/>
      <c r="DG81" s="53"/>
      <c r="DH81" s="53"/>
      <c r="DI81" s="53"/>
      <c r="DJ81" s="53"/>
      <c r="DK81" s="53"/>
      <c r="DL81" s="53"/>
      <c r="DM81" s="53"/>
      <c r="DN81" s="53"/>
      <c r="DO81" s="93"/>
      <c r="DP81" s="53"/>
      <c r="DQ81" s="53"/>
      <c r="DR81" s="53"/>
      <c r="DS81" s="53"/>
      <c r="DT81" s="53"/>
      <c r="DU81" s="53"/>
      <c r="DV81" s="53"/>
      <c r="DW81" s="53"/>
      <c r="DX81" s="53"/>
      <c r="DY81" s="53"/>
      <c r="DZ81" s="53"/>
      <c r="EA81" s="53"/>
      <c r="EB81" s="93"/>
      <c r="EC81" s="53"/>
      <c r="ED81" s="53"/>
      <c r="EE81" s="53"/>
      <c r="EF81" s="53"/>
      <c r="EG81" s="53"/>
      <c r="EH81" s="53"/>
      <c r="EI81" s="53"/>
      <c r="EJ81" s="53"/>
      <c r="EK81" s="53"/>
      <c r="EL81" s="53"/>
      <c r="EM81" s="53"/>
      <c r="EN81" s="53"/>
      <c r="EO81" s="93"/>
      <c r="EP81" s="53"/>
      <c r="EQ81" s="53"/>
      <c r="ER81" s="53"/>
      <c r="ES81" s="53"/>
      <c r="ET81" s="53"/>
      <c r="EU81" s="53"/>
      <c r="EV81" s="53"/>
      <c r="EW81" s="53"/>
      <c r="EX81" s="53"/>
      <c r="EY81" s="53"/>
      <c r="EZ81" s="53"/>
      <c r="FA81" s="53"/>
      <c r="FB81" s="93"/>
      <c r="FC81" s="53"/>
      <c r="FD81" s="53"/>
      <c r="FE81" s="53"/>
      <c r="FF81" s="53"/>
      <c r="FG81" s="53"/>
      <c r="FH81" s="53"/>
      <c r="FI81" s="53"/>
      <c r="FJ81" s="53"/>
      <c r="FK81" s="53"/>
      <c r="FL81" s="53"/>
      <c r="FM81" s="53"/>
      <c r="FN81" s="53"/>
      <c r="FO81" s="93"/>
      <c r="FP81" s="53"/>
      <c r="FQ81" s="53"/>
      <c r="FR81" s="53"/>
      <c r="FS81" s="53"/>
      <c r="FT81" s="53"/>
      <c r="FU81" s="53"/>
      <c r="FV81" s="53"/>
      <c r="FW81" s="53"/>
      <c r="FX81" s="53"/>
      <c r="FY81" s="53"/>
      <c r="FZ81" s="53"/>
      <c r="GA81" s="53"/>
      <c r="GB81" s="93"/>
      <c r="GC81" s="54"/>
      <c r="GD81" s="53"/>
      <c r="GE81" s="53"/>
      <c r="GF81" s="53"/>
      <c r="GG81" s="53"/>
      <c r="GH81" s="53"/>
      <c r="GI81" s="53"/>
      <c r="GJ81" s="53"/>
      <c r="GK81" s="53"/>
      <c r="GL81" s="53"/>
      <c r="GM81" s="53"/>
      <c r="GN81" s="53"/>
      <c r="GO81" s="93"/>
      <c r="GP81" s="53"/>
      <c r="GQ81" s="53"/>
      <c r="GR81" s="53"/>
      <c r="GS81" s="53"/>
      <c r="GT81" s="53"/>
      <c r="GU81" s="53"/>
      <c r="GV81" s="53"/>
      <c r="GW81" s="53"/>
      <c r="GX81" s="53"/>
      <c r="GY81" s="53"/>
      <c r="GZ81" s="53"/>
      <c r="HA81" s="53"/>
      <c r="HB81" s="93"/>
      <c r="HC81" s="49">
        <f t="shared" si="112"/>
        <v>250</v>
      </c>
      <c r="HD81" s="53"/>
      <c r="HE81" s="53"/>
      <c r="HF81" s="53"/>
      <c r="HG81" s="53"/>
      <c r="HH81" s="53"/>
      <c r="HI81" s="53"/>
      <c r="HJ81" s="53"/>
      <c r="HK81" s="53"/>
      <c r="HL81" s="53"/>
      <c r="HM81" s="53"/>
      <c r="HN81" s="53"/>
      <c r="HO81" s="93"/>
      <c r="HP81" s="53"/>
      <c r="HQ81" s="53"/>
      <c r="HR81" s="53"/>
      <c r="HS81" s="53"/>
      <c r="HT81" s="53"/>
      <c r="HU81" s="53"/>
      <c r="HV81" s="53"/>
      <c r="HW81" s="53"/>
      <c r="HX81" s="53"/>
      <c r="HY81" s="53"/>
      <c r="HZ81" s="53"/>
      <c r="IA81" s="53"/>
      <c r="IB81" s="93"/>
      <c r="IC81" s="53"/>
      <c r="ID81" s="53"/>
      <c r="IE81" s="53"/>
      <c r="IF81" s="53"/>
      <c r="IG81" s="53"/>
      <c r="IH81" s="53"/>
      <c r="II81" s="53"/>
      <c r="IJ81" s="53"/>
      <c r="IK81" s="53"/>
      <c r="IL81" s="53"/>
      <c r="IM81" s="53"/>
      <c r="IN81" s="53"/>
      <c r="IO81" s="93"/>
      <c r="IP81" s="53"/>
      <c r="IQ81" s="53"/>
      <c r="IR81" s="53"/>
      <c r="IS81" s="53"/>
      <c r="IT81" s="53"/>
      <c r="IU81" s="53"/>
      <c r="IV81" s="53"/>
    </row>
    <row r="82" spans="2:256" ht="14.25" outlineLevel="2">
      <c r="B82" s="100" t="s">
        <v>415</v>
      </c>
      <c r="C82" s="53"/>
      <c r="D82" s="53"/>
      <c r="E82" s="53"/>
      <c r="F82" s="53"/>
      <c r="G82" s="53"/>
      <c r="H82" s="53"/>
      <c r="I82" s="53"/>
      <c r="J82" s="53"/>
      <c r="K82" s="53">
        <v>200</v>
      </c>
      <c r="L82" s="53"/>
      <c r="M82" s="53"/>
      <c r="N82" s="53"/>
      <c r="O82" s="93">
        <f>K82</f>
        <v>200</v>
      </c>
      <c r="P82" s="53"/>
      <c r="Q82" s="53"/>
      <c r="R82" s="53"/>
      <c r="S82" s="53"/>
      <c r="T82" s="53"/>
      <c r="U82" s="53"/>
      <c r="V82" s="53"/>
      <c r="W82" s="53"/>
      <c r="X82" s="53">
        <v>300</v>
      </c>
      <c r="Y82" s="53"/>
      <c r="Z82" s="53"/>
      <c r="AA82" s="53"/>
      <c r="AB82" s="93">
        <f>AA82+Z82+Y82+X82+W82+V82+U82+T82+S82+R82+Q82+P82</f>
        <v>300</v>
      </c>
      <c r="AC82" s="53"/>
      <c r="AD82" s="53"/>
      <c r="AE82" s="53"/>
      <c r="AF82" s="53"/>
      <c r="AG82" s="53"/>
      <c r="AH82" s="53"/>
      <c r="AI82" s="53"/>
      <c r="AJ82" s="53"/>
      <c r="AK82" s="53">
        <v>150</v>
      </c>
      <c r="AL82" s="53"/>
      <c r="AM82" s="53"/>
      <c r="AN82" s="53"/>
      <c r="AO82" s="93">
        <f>AN82+AM82+AL82+AK82+AJ82+AI82+AH82+AG82+AF82+AE82+AD82+AC82</f>
        <v>150</v>
      </c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9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9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/>
      <c r="CB82" s="93"/>
      <c r="CC82" s="53"/>
      <c r="CD82" s="53"/>
      <c r="CE82" s="53"/>
      <c r="CF82" s="53"/>
      <c r="CG82" s="53"/>
      <c r="CH82" s="53"/>
      <c r="CI82" s="53"/>
      <c r="CJ82" s="53"/>
      <c r="CK82" s="53"/>
      <c r="CL82" s="53"/>
      <c r="CM82" s="53"/>
      <c r="CN82" s="53"/>
      <c r="CO82" s="93"/>
      <c r="CP82" s="53"/>
      <c r="CQ82" s="53"/>
      <c r="CR82" s="53"/>
      <c r="CS82" s="53"/>
      <c r="CT82" s="53"/>
      <c r="CU82" s="53"/>
      <c r="CV82" s="53"/>
      <c r="CW82" s="53"/>
      <c r="CX82" s="53"/>
      <c r="CY82" s="53"/>
      <c r="CZ82" s="53"/>
      <c r="DA82" s="53"/>
      <c r="DB82" s="93"/>
      <c r="DC82" s="53"/>
      <c r="DD82" s="53"/>
      <c r="DE82" s="53"/>
      <c r="DF82" s="53"/>
      <c r="DG82" s="53"/>
      <c r="DH82" s="53"/>
      <c r="DI82" s="53"/>
      <c r="DJ82" s="53"/>
      <c r="DK82" s="53"/>
      <c r="DL82" s="53"/>
      <c r="DM82" s="53"/>
      <c r="DN82" s="53"/>
      <c r="DO82" s="93"/>
      <c r="DP82" s="53"/>
      <c r="DQ82" s="53"/>
      <c r="DR82" s="53"/>
      <c r="DS82" s="53"/>
      <c r="DT82" s="53"/>
      <c r="DU82" s="53"/>
      <c r="DV82" s="53"/>
      <c r="DW82" s="53"/>
      <c r="DX82" s="53"/>
      <c r="DY82" s="53"/>
      <c r="DZ82" s="53"/>
      <c r="EA82" s="53"/>
      <c r="EB82" s="93"/>
      <c r="EC82" s="53"/>
      <c r="ED82" s="53"/>
      <c r="EE82" s="53"/>
      <c r="EF82" s="53"/>
      <c r="EG82" s="53"/>
      <c r="EH82" s="53"/>
      <c r="EI82" s="53"/>
      <c r="EJ82" s="53"/>
      <c r="EK82" s="53"/>
      <c r="EL82" s="53"/>
      <c r="EM82" s="53"/>
      <c r="EN82" s="53"/>
      <c r="EO82" s="93"/>
      <c r="EP82" s="53"/>
      <c r="EQ82" s="53"/>
      <c r="ER82" s="53"/>
      <c r="ES82" s="53"/>
      <c r="ET82" s="53"/>
      <c r="EU82" s="53"/>
      <c r="EV82" s="53"/>
      <c r="EW82" s="53"/>
      <c r="EX82" s="53"/>
      <c r="EY82" s="53"/>
      <c r="EZ82" s="53"/>
      <c r="FA82" s="53"/>
      <c r="FB82" s="93"/>
      <c r="FC82" s="53"/>
      <c r="FD82" s="53"/>
      <c r="FE82" s="53"/>
      <c r="FF82" s="53"/>
      <c r="FG82" s="53"/>
      <c r="FH82" s="53"/>
      <c r="FI82" s="53"/>
      <c r="FJ82" s="53"/>
      <c r="FK82" s="53"/>
      <c r="FL82" s="53"/>
      <c r="FM82" s="53"/>
      <c r="FN82" s="53"/>
      <c r="FO82" s="93"/>
      <c r="FP82" s="53"/>
      <c r="FQ82" s="53"/>
      <c r="FR82" s="53"/>
      <c r="FS82" s="53"/>
      <c r="FT82" s="53"/>
      <c r="FU82" s="53"/>
      <c r="FV82" s="53"/>
      <c r="FW82" s="53"/>
      <c r="FX82" s="53"/>
      <c r="FY82" s="53"/>
      <c r="FZ82" s="53"/>
      <c r="GA82" s="53"/>
      <c r="GB82" s="93"/>
      <c r="GC82" s="54"/>
      <c r="GD82" s="53"/>
      <c r="GE82" s="53"/>
      <c r="GF82" s="53"/>
      <c r="GG82" s="53"/>
      <c r="GH82" s="53"/>
      <c r="GI82" s="53"/>
      <c r="GJ82" s="53"/>
      <c r="GK82" s="53"/>
      <c r="GL82" s="53"/>
      <c r="GM82" s="53"/>
      <c r="GN82" s="53"/>
      <c r="GO82" s="93"/>
      <c r="GP82" s="53"/>
      <c r="GQ82" s="53"/>
      <c r="GR82" s="53"/>
      <c r="GS82" s="53"/>
      <c r="GT82" s="53"/>
      <c r="GU82" s="53"/>
      <c r="GV82" s="53"/>
      <c r="GW82" s="53"/>
      <c r="GX82" s="53"/>
      <c r="GY82" s="53"/>
      <c r="GZ82" s="53"/>
      <c r="HA82" s="53"/>
      <c r="HB82" s="93"/>
      <c r="HC82" s="49">
        <f t="shared" si="112"/>
        <v>650</v>
      </c>
      <c r="HD82" s="53"/>
      <c r="HE82" s="53"/>
      <c r="HF82" s="53"/>
      <c r="HG82" s="53"/>
      <c r="HH82" s="53"/>
      <c r="HI82" s="53"/>
      <c r="HJ82" s="53"/>
      <c r="HK82" s="53"/>
      <c r="HL82" s="53"/>
      <c r="HM82" s="53"/>
      <c r="HN82" s="53"/>
      <c r="HO82" s="93"/>
      <c r="HP82" s="53"/>
      <c r="HQ82" s="53"/>
      <c r="HR82" s="53"/>
      <c r="HS82" s="53"/>
      <c r="HT82" s="53"/>
      <c r="HU82" s="53"/>
      <c r="HV82" s="53"/>
      <c r="HW82" s="53"/>
      <c r="HX82" s="53"/>
      <c r="HY82" s="53"/>
      <c r="HZ82" s="53"/>
      <c r="IA82" s="53"/>
      <c r="IB82" s="93"/>
      <c r="IC82" s="53"/>
      <c r="ID82" s="53"/>
      <c r="IE82" s="53"/>
      <c r="IF82" s="53"/>
      <c r="IG82" s="53"/>
      <c r="IH82" s="53"/>
      <c r="II82" s="53"/>
      <c r="IJ82" s="53"/>
      <c r="IK82" s="53"/>
      <c r="IL82" s="53"/>
      <c r="IM82" s="53"/>
      <c r="IN82" s="53"/>
      <c r="IO82" s="93"/>
      <c r="IP82" s="53"/>
      <c r="IQ82" s="53"/>
      <c r="IR82" s="53"/>
      <c r="IS82" s="53"/>
      <c r="IT82" s="53"/>
      <c r="IU82" s="53"/>
      <c r="IV82" s="53"/>
    </row>
    <row r="83" spans="2:256" ht="14.25" outlineLevel="2">
      <c r="B83" s="100" t="s">
        <v>416</v>
      </c>
      <c r="C83" s="53"/>
      <c r="D83" s="53"/>
      <c r="E83" s="53"/>
      <c r="F83" s="53"/>
      <c r="G83" s="53"/>
      <c r="H83" s="53"/>
      <c r="I83" s="53"/>
      <c r="J83" s="53"/>
      <c r="K83" s="53">
        <v>70</v>
      </c>
      <c r="L83" s="53"/>
      <c r="M83" s="53"/>
      <c r="N83" s="53"/>
      <c r="O83" s="93">
        <f>K83</f>
        <v>70</v>
      </c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9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9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9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93"/>
      <c r="BP83" s="53"/>
      <c r="BQ83" s="53"/>
      <c r="BR83" s="53"/>
      <c r="BS83" s="53"/>
      <c r="BT83" s="53"/>
      <c r="BU83" s="53"/>
      <c r="BV83" s="53"/>
      <c r="BW83" s="53"/>
      <c r="BX83" s="53"/>
      <c r="BY83" s="53"/>
      <c r="BZ83" s="53"/>
      <c r="CA83" s="53"/>
      <c r="CB83" s="93"/>
      <c r="CC83" s="53"/>
      <c r="CD83" s="53"/>
      <c r="CE83" s="53"/>
      <c r="CF83" s="53"/>
      <c r="CG83" s="53"/>
      <c r="CH83" s="53"/>
      <c r="CI83" s="53"/>
      <c r="CJ83" s="53"/>
      <c r="CK83" s="53"/>
      <c r="CL83" s="53"/>
      <c r="CM83" s="53"/>
      <c r="CN83" s="53"/>
      <c r="CO83" s="93"/>
      <c r="CP83" s="53"/>
      <c r="CQ83" s="53"/>
      <c r="CR83" s="53"/>
      <c r="CS83" s="53"/>
      <c r="CT83" s="53"/>
      <c r="CU83" s="53"/>
      <c r="CV83" s="53"/>
      <c r="CW83" s="53"/>
      <c r="CX83" s="53"/>
      <c r="CY83" s="53"/>
      <c r="CZ83" s="53"/>
      <c r="DA83" s="53"/>
      <c r="DB83" s="93"/>
      <c r="DC83" s="53"/>
      <c r="DD83" s="53"/>
      <c r="DE83" s="53"/>
      <c r="DF83" s="53"/>
      <c r="DG83" s="53"/>
      <c r="DH83" s="53"/>
      <c r="DI83" s="53"/>
      <c r="DJ83" s="53"/>
      <c r="DK83" s="53"/>
      <c r="DL83" s="53"/>
      <c r="DM83" s="53"/>
      <c r="DN83" s="53"/>
      <c r="DO83" s="93"/>
      <c r="DP83" s="53"/>
      <c r="DQ83" s="53"/>
      <c r="DR83" s="53"/>
      <c r="DS83" s="53"/>
      <c r="DT83" s="53"/>
      <c r="DU83" s="53"/>
      <c r="DV83" s="53"/>
      <c r="DW83" s="53"/>
      <c r="DX83" s="53"/>
      <c r="DY83" s="53"/>
      <c r="DZ83" s="53"/>
      <c r="EA83" s="53"/>
      <c r="EB83" s="93"/>
      <c r="EC83" s="53"/>
      <c r="ED83" s="53"/>
      <c r="EE83" s="53"/>
      <c r="EF83" s="53"/>
      <c r="EG83" s="53"/>
      <c r="EH83" s="53"/>
      <c r="EI83" s="53"/>
      <c r="EJ83" s="53"/>
      <c r="EK83" s="53"/>
      <c r="EL83" s="53"/>
      <c r="EM83" s="53"/>
      <c r="EN83" s="53"/>
      <c r="EO83" s="93"/>
      <c r="EP83" s="53"/>
      <c r="EQ83" s="53"/>
      <c r="ER83" s="53"/>
      <c r="ES83" s="53"/>
      <c r="ET83" s="53"/>
      <c r="EU83" s="53"/>
      <c r="EV83" s="53"/>
      <c r="EW83" s="53"/>
      <c r="EX83" s="53"/>
      <c r="EY83" s="53"/>
      <c r="EZ83" s="53"/>
      <c r="FA83" s="53"/>
      <c r="FB83" s="93"/>
      <c r="FC83" s="53"/>
      <c r="FD83" s="53"/>
      <c r="FE83" s="53"/>
      <c r="FF83" s="53"/>
      <c r="FG83" s="53"/>
      <c r="FH83" s="53"/>
      <c r="FI83" s="53"/>
      <c r="FJ83" s="53"/>
      <c r="FK83" s="53"/>
      <c r="FL83" s="53"/>
      <c r="FM83" s="53"/>
      <c r="FN83" s="53"/>
      <c r="FO83" s="93"/>
      <c r="FP83" s="53"/>
      <c r="FQ83" s="53"/>
      <c r="FR83" s="53"/>
      <c r="FS83" s="53"/>
      <c r="FT83" s="53"/>
      <c r="FU83" s="53"/>
      <c r="FV83" s="53"/>
      <c r="FW83" s="53"/>
      <c r="FX83" s="53"/>
      <c r="FY83" s="53"/>
      <c r="FZ83" s="53"/>
      <c r="GA83" s="53"/>
      <c r="GB83" s="93"/>
      <c r="GC83" s="54"/>
      <c r="GD83" s="53"/>
      <c r="GE83" s="53"/>
      <c r="GF83" s="53"/>
      <c r="GG83" s="53"/>
      <c r="GH83" s="53"/>
      <c r="GI83" s="53"/>
      <c r="GJ83" s="53"/>
      <c r="GK83" s="53"/>
      <c r="GL83" s="53"/>
      <c r="GM83" s="53"/>
      <c r="GN83" s="53"/>
      <c r="GO83" s="93"/>
      <c r="GP83" s="53"/>
      <c r="GQ83" s="53"/>
      <c r="GR83" s="53"/>
      <c r="GS83" s="53"/>
      <c r="GT83" s="53"/>
      <c r="GU83" s="53"/>
      <c r="GV83" s="53"/>
      <c r="GW83" s="53"/>
      <c r="GX83" s="53"/>
      <c r="GY83" s="53"/>
      <c r="GZ83" s="53"/>
      <c r="HA83" s="53"/>
      <c r="HB83" s="93"/>
      <c r="HC83" s="49">
        <f t="shared" si="112"/>
        <v>70</v>
      </c>
      <c r="HD83" s="53"/>
      <c r="HE83" s="53"/>
      <c r="HF83" s="53"/>
      <c r="HG83" s="53"/>
      <c r="HH83" s="53"/>
      <c r="HI83" s="53"/>
      <c r="HJ83" s="53"/>
      <c r="HK83" s="53"/>
      <c r="HL83" s="53"/>
      <c r="HM83" s="53"/>
      <c r="HN83" s="53"/>
      <c r="HO83" s="93"/>
      <c r="HP83" s="53"/>
      <c r="HQ83" s="53"/>
      <c r="HR83" s="53"/>
      <c r="HS83" s="53"/>
      <c r="HT83" s="53"/>
      <c r="HU83" s="53"/>
      <c r="HV83" s="53"/>
      <c r="HW83" s="53"/>
      <c r="HX83" s="53"/>
      <c r="HY83" s="53"/>
      <c r="HZ83" s="53"/>
      <c r="IA83" s="53"/>
      <c r="IB83" s="93"/>
      <c r="IC83" s="53"/>
      <c r="ID83" s="53"/>
      <c r="IE83" s="53"/>
      <c r="IF83" s="53"/>
      <c r="IG83" s="53"/>
      <c r="IH83" s="53"/>
      <c r="II83" s="53"/>
      <c r="IJ83" s="53"/>
      <c r="IK83" s="53"/>
      <c r="IL83" s="53"/>
      <c r="IM83" s="53"/>
      <c r="IN83" s="53"/>
      <c r="IO83" s="93"/>
      <c r="IP83" s="53"/>
      <c r="IQ83" s="53"/>
      <c r="IR83" s="53"/>
      <c r="IS83" s="53"/>
      <c r="IT83" s="53"/>
      <c r="IU83" s="53"/>
      <c r="IV83" s="53"/>
    </row>
    <row r="84" spans="1:256" ht="14.25">
      <c r="A84" s="48"/>
      <c r="B84" s="96" t="s">
        <v>417</v>
      </c>
      <c r="C84" s="49"/>
      <c r="D84" s="49"/>
      <c r="E84" s="49"/>
      <c r="F84" s="49"/>
      <c r="G84" s="49"/>
      <c r="H84" s="49"/>
      <c r="I84" s="49"/>
      <c r="J84" s="49"/>
      <c r="K84" s="49">
        <f>K57-K60</f>
        <v>-10823</v>
      </c>
      <c r="L84" s="49"/>
      <c r="M84" s="49"/>
      <c r="N84" s="49"/>
      <c r="O84" s="50">
        <f>K84</f>
        <v>-10823</v>
      </c>
      <c r="P84" s="49"/>
      <c r="Q84" s="49"/>
      <c r="R84" s="49"/>
      <c r="S84" s="49"/>
      <c r="T84" s="49">
        <f>T57-T60</f>
        <v>-1250</v>
      </c>
      <c r="U84" s="49"/>
      <c r="V84" s="49"/>
      <c r="W84" s="49">
        <f>W57-W60</f>
        <v>-11802.5356</v>
      </c>
      <c r="X84" s="49">
        <f>X57-X60</f>
        <v>-67107.24407</v>
      </c>
      <c r="Y84" s="49"/>
      <c r="Z84" s="49"/>
      <c r="AA84" s="49"/>
      <c r="AB84" s="93">
        <f>AA84+Z84+Y84+X84+W84+V84+U84+T84+S84+R84+Q84+P84</f>
        <v>-80159.77967</v>
      </c>
      <c r="AC84" s="49"/>
      <c r="AD84" s="49"/>
      <c r="AE84" s="49"/>
      <c r="AF84" s="49"/>
      <c r="AG84" s="49">
        <f>AG57-AG60</f>
        <v>-13298</v>
      </c>
      <c r="AH84" s="49"/>
      <c r="AI84" s="49"/>
      <c r="AJ84" s="49">
        <f>AJ57-AJ60</f>
        <v>-80105.24324</v>
      </c>
      <c r="AK84" s="49">
        <f>AK57-AK60</f>
        <v>-106899.97628</v>
      </c>
      <c r="AL84" s="49"/>
      <c r="AM84" s="49"/>
      <c r="AN84" s="49"/>
      <c r="AO84" s="93">
        <f>AN84+AM84+AL84+AK84+AJ84+AI84+AH84+AG84+AF84+AE84+AD84+AC84</f>
        <v>-200303.21951999998</v>
      </c>
      <c r="AP84" s="49"/>
      <c r="AQ84" s="49"/>
      <c r="AR84" s="49"/>
      <c r="AS84" s="49"/>
      <c r="AT84" s="49">
        <f>AT57-AT60</f>
        <v>-6524</v>
      </c>
      <c r="AU84" s="49"/>
      <c r="AV84" s="49"/>
      <c r="AW84" s="49">
        <f>AW57-AW60</f>
        <v>-113273.97628</v>
      </c>
      <c r="AX84" s="49"/>
      <c r="AY84" s="49"/>
      <c r="AZ84" s="49"/>
      <c r="BA84" s="49"/>
      <c r="BB84" s="93">
        <f>BA84+AZ84+AY84+AX84+AW84+AV84+AU84+AT84+AS84+AR84+AQ84+AP84</f>
        <v>-119797.97628</v>
      </c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93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93"/>
      <c r="CC84" s="49"/>
      <c r="CD84" s="49"/>
      <c r="CE84" s="49"/>
      <c r="CF84" s="49"/>
      <c r="CG84" s="49">
        <f>CG57-CG60</f>
        <v>-1250</v>
      </c>
      <c r="CH84" s="49"/>
      <c r="CI84" s="49"/>
      <c r="CJ84" s="49">
        <f>CJ57-CJ60</f>
        <v>0</v>
      </c>
      <c r="CK84" s="49"/>
      <c r="CL84" s="49"/>
      <c r="CM84" s="49"/>
      <c r="CN84" s="49"/>
      <c r="CO84" s="93">
        <f>CN84+CM84+CL84+CK84+CJ84+CI84+CH84+CG84+CF84+CE84+CD84+CC84</f>
        <v>-1250</v>
      </c>
      <c r="CP84" s="49"/>
      <c r="CQ84" s="49"/>
      <c r="CR84" s="49"/>
      <c r="CS84" s="49"/>
      <c r="CT84" s="49">
        <f>CT57-CT60</f>
        <v>-9680</v>
      </c>
      <c r="CU84" s="49"/>
      <c r="CV84" s="49"/>
      <c r="CW84" s="49">
        <f>CW57-CW60</f>
        <v>0</v>
      </c>
      <c r="CX84" s="49"/>
      <c r="CY84" s="49"/>
      <c r="CZ84" s="49"/>
      <c r="DA84" s="49"/>
      <c r="DB84" s="93">
        <f>DA84+CZ84+CY84+CX84+CW84+CV84+CU84+CT84+CS84+CR84+CQ84+CP84</f>
        <v>-9680</v>
      </c>
      <c r="DC84" s="49"/>
      <c r="DD84" s="49"/>
      <c r="DE84" s="49"/>
      <c r="DF84" s="49"/>
      <c r="DG84" s="49">
        <f>DG57-DG60</f>
        <v>-4840</v>
      </c>
      <c r="DH84" s="49"/>
      <c r="DI84" s="49"/>
      <c r="DJ84" s="49">
        <f>DJ57-DJ60</f>
        <v>0</v>
      </c>
      <c r="DK84" s="49"/>
      <c r="DL84" s="49"/>
      <c r="DM84" s="49"/>
      <c r="DN84" s="49"/>
      <c r="DO84" s="93">
        <f>DN84+DM84+DL84+DK84+DJ84+DI84+DH84+DG84+DF84+DE84+DD84+DC84</f>
        <v>-4840</v>
      </c>
      <c r="DP84" s="49"/>
      <c r="DQ84" s="49"/>
      <c r="DR84" s="49"/>
      <c r="DS84" s="49"/>
      <c r="DT84" s="49"/>
      <c r="DU84" s="49"/>
      <c r="DV84" s="49"/>
      <c r="DW84" s="49"/>
      <c r="DX84" s="49"/>
      <c r="DY84" s="49"/>
      <c r="DZ84" s="49"/>
      <c r="EA84" s="49"/>
      <c r="EB84" s="93"/>
      <c r="EC84" s="49"/>
      <c r="ED84" s="49"/>
      <c r="EE84" s="49"/>
      <c r="EF84" s="49"/>
      <c r="EG84" s="49"/>
      <c r="EH84" s="49"/>
      <c r="EI84" s="49"/>
      <c r="EJ84" s="49"/>
      <c r="EK84" s="49"/>
      <c r="EL84" s="49"/>
      <c r="EM84" s="49"/>
      <c r="EN84" s="49"/>
      <c r="EO84" s="93"/>
      <c r="EP84" s="49"/>
      <c r="EQ84" s="49"/>
      <c r="ER84" s="49"/>
      <c r="ES84" s="49"/>
      <c r="ET84" s="49">
        <f>ET57-ET60</f>
        <v>-1250</v>
      </c>
      <c r="EU84" s="49"/>
      <c r="EV84" s="49"/>
      <c r="EW84" s="49">
        <f>EW57-EW60</f>
        <v>0</v>
      </c>
      <c r="EX84" s="49"/>
      <c r="EY84" s="49"/>
      <c r="EZ84" s="49"/>
      <c r="FA84" s="49"/>
      <c r="FB84" s="93">
        <f>FA84+EZ84+EY84+EX84+EW84+EV84+EU84+ET84+ES84+ER84+EQ84+EP84</f>
        <v>-1250</v>
      </c>
      <c r="FC84" s="49"/>
      <c r="FD84" s="49"/>
      <c r="FE84" s="49"/>
      <c r="FF84" s="49"/>
      <c r="FG84" s="49">
        <f>FG57-FG60</f>
        <v>-9680</v>
      </c>
      <c r="FH84" s="49"/>
      <c r="FI84" s="49"/>
      <c r="FJ84" s="49">
        <f>FJ57-FJ60</f>
        <v>0</v>
      </c>
      <c r="FK84" s="49"/>
      <c r="FL84" s="49"/>
      <c r="FM84" s="49"/>
      <c r="FN84" s="49"/>
      <c r="FO84" s="93">
        <f>FN84+FM84+FL84+FK84+FJ84+FI84+FH84+FG84+FF84+FE84+FD84+FC84</f>
        <v>-9680</v>
      </c>
      <c r="FP84" s="49"/>
      <c r="FQ84" s="49"/>
      <c r="FR84" s="49"/>
      <c r="FS84" s="49"/>
      <c r="FT84" s="49">
        <f>FT57-FT60</f>
        <v>-4840</v>
      </c>
      <c r="FU84" s="49"/>
      <c r="FV84" s="49"/>
      <c r="FW84" s="49">
        <f>FW57-FW60</f>
        <v>0</v>
      </c>
      <c r="FX84" s="49"/>
      <c r="FY84" s="49"/>
      <c r="FZ84" s="49"/>
      <c r="GA84" s="49"/>
      <c r="GB84" s="93">
        <f>GA84+FZ84+FY84+FX84+FW84+FV84+FU84+FT84+FS84+FR84+FQ84+FP84</f>
        <v>-4840</v>
      </c>
      <c r="GC84" s="49"/>
      <c r="GD84" s="49"/>
      <c r="GE84" s="49"/>
      <c r="GF84" s="49"/>
      <c r="GG84" s="49"/>
      <c r="GH84" s="49"/>
      <c r="GI84" s="49"/>
      <c r="GJ84" s="49"/>
      <c r="GK84" s="49"/>
      <c r="GL84" s="49"/>
      <c r="GM84" s="49"/>
      <c r="GN84" s="49"/>
      <c r="GO84" s="93"/>
      <c r="GP84" s="49"/>
      <c r="GQ84" s="49"/>
      <c r="GR84" s="49"/>
      <c r="GS84" s="49"/>
      <c r="GT84" s="49"/>
      <c r="GU84" s="49"/>
      <c r="GV84" s="49"/>
      <c r="GW84" s="49"/>
      <c r="GX84" s="49"/>
      <c r="GY84" s="49"/>
      <c r="GZ84" s="49"/>
      <c r="HA84" s="49"/>
      <c r="HB84" s="93"/>
      <c r="HC84" s="49">
        <f t="shared" si="112"/>
        <v>-442623.97547</v>
      </c>
      <c r="HD84" s="49"/>
      <c r="HE84" s="49"/>
      <c r="HF84" s="49"/>
      <c r="HG84" s="49"/>
      <c r="HH84" s="49"/>
      <c r="HI84" s="49"/>
      <c r="HJ84" s="49"/>
      <c r="HK84" s="49"/>
      <c r="HL84" s="49"/>
      <c r="HM84" s="49"/>
      <c r="HN84" s="49"/>
      <c r="HO84" s="93"/>
      <c r="HP84" s="49"/>
      <c r="HQ84" s="49"/>
      <c r="HR84" s="49"/>
      <c r="HS84" s="49"/>
      <c r="HT84" s="49"/>
      <c r="HU84" s="49"/>
      <c r="HV84" s="49"/>
      <c r="HW84" s="49"/>
      <c r="HX84" s="49"/>
      <c r="HY84" s="49"/>
      <c r="HZ84" s="49"/>
      <c r="IA84" s="49"/>
      <c r="IB84" s="93"/>
      <c r="IC84" s="49"/>
      <c r="ID84" s="49"/>
      <c r="IE84" s="49"/>
      <c r="IF84" s="49"/>
      <c r="IG84" s="49"/>
      <c r="IH84" s="49"/>
      <c r="II84" s="49"/>
      <c r="IJ84" s="49"/>
      <c r="IK84" s="49"/>
      <c r="IL84" s="49"/>
      <c r="IM84" s="49"/>
      <c r="IN84" s="49"/>
      <c r="IO84" s="93"/>
      <c r="IP84" s="49"/>
      <c r="IQ84" s="49"/>
      <c r="IR84" s="49"/>
      <c r="IS84" s="49"/>
      <c r="IT84" s="49"/>
      <c r="IU84" s="49"/>
      <c r="IV84" s="49"/>
    </row>
    <row r="85" spans="1:256" ht="14.25">
      <c r="A85" s="48"/>
      <c r="B85" s="92" t="s">
        <v>418</v>
      </c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93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93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93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93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93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93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93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93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93"/>
      <c r="DP85" s="57"/>
      <c r="DQ85" s="57"/>
      <c r="DR85" s="57"/>
      <c r="DS85" s="57"/>
      <c r="DT85" s="57"/>
      <c r="DU85" s="57"/>
      <c r="DV85" s="57"/>
      <c r="DW85" s="57"/>
      <c r="DX85" s="57"/>
      <c r="DY85" s="57"/>
      <c r="DZ85" s="57"/>
      <c r="EA85" s="57"/>
      <c r="EB85" s="93"/>
      <c r="EC85" s="57"/>
      <c r="ED85" s="57"/>
      <c r="EE85" s="57"/>
      <c r="EF85" s="57"/>
      <c r="EG85" s="57"/>
      <c r="EH85" s="57"/>
      <c r="EI85" s="57"/>
      <c r="EJ85" s="57"/>
      <c r="EK85" s="57"/>
      <c r="EL85" s="57"/>
      <c r="EM85" s="57"/>
      <c r="EN85" s="57"/>
      <c r="EO85" s="93"/>
      <c r="EP85" s="57"/>
      <c r="EQ85" s="57"/>
      <c r="ER85" s="57"/>
      <c r="ES85" s="57"/>
      <c r="ET85" s="57"/>
      <c r="EU85" s="57"/>
      <c r="EV85" s="57"/>
      <c r="EW85" s="57"/>
      <c r="EX85" s="57"/>
      <c r="EY85" s="57"/>
      <c r="EZ85" s="57"/>
      <c r="FA85" s="57"/>
      <c r="FB85" s="93"/>
      <c r="FC85" s="57"/>
      <c r="FD85" s="57"/>
      <c r="FE85" s="57"/>
      <c r="FF85" s="57"/>
      <c r="FG85" s="57"/>
      <c r="FH85" s="57"/>
      <c r="FI85" s="57"/>
      <c r="FJ85" s="57"/>
      <c r="FK85" s="57"/>
      <c r="FL85" s="57"/>
      <c r="FM85" s="57"/>
      <c r="FN85" s="57"/>
      <c r="FO85" s="93"/>
      <c r="FP85" s="57"/>
      <c r="FQ85" s="57"/>
      <c r="FR85" s="57"/>
      <c r="FS85" s="57"/>
      <c r="FT85" s="57"/>
      <c r="FU85" s="57"/>
      <c r="FV85" s="57"/>
      <c r="FW85" s="57"/>
      <c r="FX85" s="57"/>
      <c r="FY85" s="57"/>
      <c r="FZ85" s="57"/>
      <c r="GA85" s="57"/>
      <c r="GB85" s="93"/>
      <c r="GC85" s="57"/>
      <c r="GD85" s="57"/>
      <c r="GE85" s="57"/>
      <c r="GF85" s="57"/>
      <c r="GG85" s="57"/>
      <c r="GH85" s="57"/>
      <c r="GI85" s="57"/>
      <c r="GJ85" s="57"/>
      <c r="GK85" s="57"/>
      <c r="GL85" s="57"/>
      <c r="GM85" s="57"/>
      <c r="GN85" s="57"/>
      <c r="GO85" s="93"/>
      <c r="GP85" s="57"/>
      <c r="GQ85" s="57"/>
      <c r="GR85" s="57"/>
      <c r="GS85" s="57"/>
      <c r="GT85" s="57"/>
      <c r="GU85" s="57"/>
      <c r="GV85" s="57"/>
      <c r="GW85" s="57"/>
      <c r="GX85" s="57"/>
      <c r="GY85" s="57"/>
      <c r="GZ85" s="57"/>
      <c r="HA85" s="57"/>
      <c r="HB85" s="93"/>
      <c r="HC85" s="57"/>
      <c r="HD85" s="57"/>
      <c r="HE85" s="57"/>
      <c r="HF85" s="57"/>
      <c r="HG85" s="57"/>
      <c r="HH85" s="57"/>
      <c r="HI85" s="57"/>
      <c r="HJ85" s="57"/>
      <c r="HK85" s="57"/>
      <c r="HL85" s="57"/>
      <c r="HM85" s="57"/>
      <c r="HN85" s="57"/>
      <c r="HO85" s="93"/>
      <c r="HP85" s="57"/>
      <c r="HQ85" s="57"/>
      <c r="HR85" s="57"/>
      <c r="HS85" s="57"/>
      <c r="HT85" s="57"/>
      <c r="HU85" s="57"/>
      <c r="HV85" s="57"/>
      <c r="HW85" s="57"/>
      <c r="HX85" s="57"/>
      <c r="HY85" s="57"/>
      <c r="HZ85" s="57"/>
      <c r="IA85" s="57"/>
      <c r="IB85" s="93"/>
      <c r="IC85" s="57"/>
      <c r="ID85" s="57"/>
      <c r="IE85" s="57"/>
      <c r="IF85" s="57"/>
      <c r="IG85" s="57"/>
      <c r="IH85" s="57"/>
      <c r="II85" s="57"/>
      <c r="IJ85" s="57"/>
      <c r="IK85" s="57"/>
      <c r="IL85" s="57"/>
      <c r="IM85" s="57"/>
      <c r="IN85" s="57"/>
      <c r="IO85" s="93"/>
      <c r="IP85" s="57"/>
      <c r="IQ85" s="57"/>
      <c r="IR85" s="57"/>
      <c r="IS85" s="57"/>
      <c r="IT85" s="57"/>
      <c r="IU85" s="57"/>
      <c r="IV85" s="57"/>
    </row>
    <row r="86" spans="1:256" s="102" customFormat="1" ht="14.25" outlineLevel="1">
      <c r="A86" s="48"/>
      <c r="B86" s="101" t="s">
        <v>378</v>
      </c>
      <c r="C86" s="49"/>
      <c r="D86" s="49"/>
      <c r="E86" s="49"/>
      <c r="F86" s="49"/>
      <c r="G86" s="49"/>
      <c r="H86" s="49"/>
      <c r="I86" s="49"/>
      <c r="J86" s="49"/>
      <c r="K86" s="49">
        <f>K87+K88+K89+K90</f>
        <v>399875</v>
      </c>
      <c r="L86" s="49">
        <f>L87+L88+L89+L90</f>
        <v>60.5605</v>
      </c>
      <c r="M86" s="49">
        <f>M87+M88+M89+M90</f>
        <v>7.227166666666667</v>
      </c>
      <c r="N86" s="49">
        <f>N87+N88+N89+N90</f>
        <v>7.227166666666667</v>
      </c>
      <c r="O86" s="93">
        <f>N86+M86+L86+K86</f>
        <v>399950.0148333333</v>
      </c>
      <c r="P86" s="49">
        <f aca="true" t="shared" si="113" ref="P86:W86">P87+P88+P89+P90</f>
        <v>7.227166666666667</v>
      </c>
      <c r="Q86" s="49">
        <f>Q87+Q88+Q89+Q90</f>
        <v>7.227166666666667</v>
      </c>
      <c r="R86" s="49">
        <f t="shared" si="113"/>
        <v>7.227166666666667</v>
      </c>
      <c r="S86" s="49">
        <f t="shared" si="113"/>
        <v>7.227166666666667</v>
      </c>
      <c r="T86" s="49">
        <f t="shared" si="113"/>
        <v>7.227166666666667</v>
      </c>
      <c r="U86" s="49">
        <f t="shared" si="113"/>
        <v>7.227166666666667</v>
      </c>
      <c r="V86" s="49">
        <f>V87+V88+V89+V90</f>
        <v>7.227166666666667</v>
      </c>
      <c r="W86" s="49">
        <f t="shared" si="113"/>
        <v>7.227166666666667</v>
      </c>
      <c r="X86" s="49">
        <f>X87+X88+X89+X90</f>
        <v>3941.4831</v>
      </c>
      <c r="Y86" s="49">
        <f>Y87+Y88+Y89+Y90</f>
        <v>68.07383333333333</v>
      </c>
      <c r="Z86" s="49">
        <f>Z87+Z88+Z89+Z90</f>
        <v>9.740499999999999</v>
      </c>
      <c r="AA86" s="49">
        <f>AA87+AA88+AA89+AA90</f>
        <v>9.740499999999999</v>
      </c>
      <c r="AB86" s="93">
        <f>AA86+Z86+Y86+X86+W86+V86+U86+T86+S86+R86+Q86+P86</f>
        <v>4086.8552666666656</v>
      </c>
      <c r="AC86" s="49">
        <f>AC87+AC88+AC89+AC90</f>
        <v>9.740499999999999</v>
      </c>
      <c r="AD86" s="49">
        <f>AD87+AD88+AD89+AD90</f>
        <v>9.740499999999999</v>
      </c>
      <c r="AE86" s="49">
        <f>AE87+AE88+AE89+AE90</f>
        <v>9.740499999999999</v>
      </c>
      <c r="AF86" s="49">
        <f aca="true" t="shared" si="114" ref="AF86:AM86">AF87+AF88+AF89+AF90</f>
        <v>9.740499999999999</v>
      </c>
      <c r="AG86" s="49">
        <f t="shared" si="114"/>
        <v>9.740499999999999</v>
      </c>
      <c r="AH86" s="49">
        <f t="shared" si="114"/>
        <v>9.740499999999999</v>
      </c>
      <c r="AI86" s="49">
        <f t="shared" si="114"/>
        <v>9.740499999999999</v>
      </c>
      <c r="AJ86" s="49">
        <f t="shared" si="114"/>
        <v>9.740499999999999</v>
      </c>
      <c r="AK86" s="49">
        <f t="shared" si="114"/>
        <v>26711.488384999997</v>
      </c>
      <c r="AL86" s="49">
        <f t="shared" si="114"/>
        <v>615.7405144666666</v>
      </c>
      <c r="AM86" s="49">
        <f t="shared" si="114"/>
        <v>149.6477358000002</v>
      </c>
      <c r="AN86" s="49"/>
      <c r="AO86" s="93">
        <f>AN86+AM86+AL86+AK86+AJ86+AI86+AH86+AG86+AF86+AE86+AD86+AC86</f>
        <v>27554.800635266663</v>
      </c>
      <c r="AP86" s="49"/>
      <c r="AQ86" s="49"/>
      <c r="AR86" s="49"/>
      <c r="AS86" s="49"/>
      <c r="AT86" s="49"/>
      <c r="AU86" s="49"/>
      <c r="AV86" s="49"/>
      <c r="AW86" s="49"/>
      <c r="AX86" s="49">
        <f>AX87+AX88+AX89+AX90</f>
        <v>37844.95332003334</v>
      </c>
      <c r="AY86" s="49">
        <f>AY87+AY88+AY89+AY90</f>
        <v>768.3831330666667</v>
      </c>
      <c r="AZ86" s="49">
        <f>AZ87+AZ88+AZ89+AZ90</f>
        <v>316.7544475499999</v>
      </c>
      <c r="BA86" s="49"/>
      <c r="BB86" s="93">
        <f>BA86+AZ86+AY86+AX86+AW86+AV86+AU86+AT86+AS86+AR86+AQ86+AP86</f>
        <v>38930.09090065001</v>
      </c>
      <c r="BC86" s="49">
        <f>BC87+BC88+BC89+BC90</f>
        <v>7060.892569277699</v>
      </c>
      <c r="BD86" s="49"/>
      <c r="BE86" s="49"/>
      <c r="BF86" s="49"/>
      <c r="BG86" s="49"/>
      <c r="BH86" s="49"/>
      <c r="BI86" s="49"/>
      <c r="BJ86" s="49"/>
      <c r="BK86" s="49">
        <f>BK87+BK88+BK89+BK90</f>
        <v>150.89413185000024</v>
      </c>
      <c r="BL86" s="49">
        <f>BL87+BL88+BL89+BL90</f>
        <v>85.08921813333336</v>
      </c>
      <c r="BM86" s="49">
        <f>BM87+BM88+BM89+BM90</f>
        <v>316.7544475499999</v>
      </c>
      <c r="BN86" s="49"/>
      <c r="BO86" s="93">
        <f>BN86+BM86+BL86+BK86+BJ86+BI86+BH86+BG86+BF86+BE86+BD86+BC86</f>
        <v>7613.630366811033</v>
      </c>
      <c r="BP86" s="49">
        <f>BP87+BP88+BP89+BP90</f>
        <v>19136.188928148313</v>
      </c>
      <c r="BQ86" s="49"/>
      <c r="BR86" s="49"/>
      <c r="BS86" s="49"/>
      <c r="BT86" s="49"/>
      <c r="BU86" s="49"/>
      <c r="BV86" s="49"/>
      <c r="BW86" s="49"/>
      <c r="BX86" s="49">
        <f>BX87+BX88+BX89+BX90</f>
        <v>221.31482187500023</v>
      </c>
      <c r="BY86" s="49">
        <f>BY87+BY88+BY89+BY90</f>
        <v>6.630462733333388</v>
      </c>
      <c r="BZ86" s="49">
        <f>BZ87+BZ88+BZ89+BZ90</f>
        <v>316.7544475499999</v>
      </c>
      <c r="CA86" s="49"/>
      <c r="CB86" s="93">
        <f>CA86+BZ86+BY86+BX86+BW86+BV86+BU86+BT86+BS86+BR86+BQ86+BP86</f>
        <v>19680.888660306646</v>
      </c>
      <c r="CC86" s="49">
        <f>CC87+CC88+CC89+CC90</f>
        <v>20072.098183332957</v>
      </c>
      <c r="CD86" s="49"/>
      <c r="CE86" s="49"/>
      <c r="CF86" s="49"/>
      <c r="CG86" s="49"/>
      <c r="CH86" s="49"/>
      <c r="CI86" s="49"/>
      <c r="CJ86" s="49"/>
      <c r="CK86" s="49">
        <f>CK87+CK88+CK89+CK90</f>
        <v>221.31482187500023</v>
      </c>
      <c r="CL86" s="49">
        <f>CL87+CL88+CL89+CL90</f>
        <v>85.08921813333336</v>
      </c>
      <c r="CM86" s="49">
        <f>CM87+CM88+CM89+CM90</f>
        <v>232.4718427749997</v>
      </c>
      <c r="CN86" s="49"/>
      <c r="CO86" s="93">
        <f>CN86+CM86+CL86+CK86+CJ86+CI86+CH86+CG86+CF86+CE86+CD86+CC86</f>
        <v>20610.97406611629</v>
      </c>
      <c r="CP86" s="49">
        <f>CP87+CP88+CP89+CP90</f>
        <v>18859.30570296298</v>
      </c>
      <c r="CQ86" s="49"/>
      <c r="CR86" s="49"/>
      <c r="CS86" s="49"/>
      <c r="CT86" s="49"/>
      <c r="CU86" s="49"/>
      <c r="CV86" s="49"/>
      <c r="CW86" s="49"/>
      <c r="CX86" s="49">
        <f>CX87+CX88+CX89+CX90</f>
        <v>1834.6481552083333</v>
      </c>
      <c r="CY86" s="49">
        <f>CY87+CY88+CY89+CY90</f>
        <v>85.08921813333336</v>
      </c>
      <c r="CZ86" s="49">
        <f>CZ87+CZ88+CZ89+CZ90</f>
        <v>316.7544475499999</v>
      </c>
      <c r="DA86" s="49"/>
      <c r="DB86" s="93">
        <f>DA86+CZ86+CY86+CX86+CW86+CV86+CU86+CT86+CS86+CR86+CQ86+CP86</f>
        <v>21095.79752385465</v>
      </c>
      <c r="DC86" s="49">
        <f>DC87+DC88+DC89+DC90</f>
        <v>17230.04007375655</v>
      </c>
      <c r="DD86" s="49"/>
      <c r="DE86" s="49"/>
      <c r="DF86" s="49"/>
      <c r="DG86" s="49"/>
      <c r="DH86" s="49"/>
      <c r="DI86" s="49"/>
      <c r="DJ86" s="49"/>
      <c r="DK86" s="49">
        <f>DK87+DK88+DK89+DK90</f>
        <v>1027.9814885416667</v>
      </c>
      <c r="DL86" s="49">
        <f>DL87+DL88+DL89+DL90</f>
        <v>85.08921813333336</v>
      </c>
      <c r="DM86" s="49">
        <f>DM87+DM88+DM89+DM90</f>
        <v>316.7544475499999</v>
      </c>
      <c r="DN86" s="49"/>
      <c r="DO86" s="93">
        <f>DN86+DM86+DL86+DK86+DJ86+DI86+DH86+DG86+DF86+DE86+DD86+DC86</f>
        <v>18659.86522798155</v>
      </c>
      <c r="DP86" s="49">
        <f>DP87+DP88+DP89+DP90</f>
        <v>15969.917970886545</v>
      </c>
      <c r="DQ86" s="49"/>
      <c r="DR86" s="49"/>
      <c r="DS86" s="49"/>
      <c r="DT86" s="49"/>
      <c r="DU86" s="49"/>
      <c r="DV86" s="49"/>
      <c r="DW86" s="49"/>
      <c r="DX86" s="49">
        <f>DX87+DX88+DX89+DX90</f>
        <v>150.89413185000024</v>
      </c>
      <c r="DY86" s="49">
        <f>DY87+DY88+DY89+DY90</f>
        <v>85.08921813333336</v>
      </c>
      <c r="DZ86" s="49">
        <f>DZ87+DZ88+DZ89+DZ90</f>
        <v>316.7544475499999</v>
      </c>
      <c r="EA86" s="49"/>
      <c r="EB86" s="93">
        <f>EA86+DZ86+DY86+DX86+DW86+DV86+DU86+DT86+DS86+DR86+DQ86+DP86</f>
        <v>16522.655768419878</v>
      </c>
      <c r="EC86" s="49">
        <f>EC87+EC88+EC89+EC90</f>
        <v>14703.537704821658</v>
      </c>
      <c r="ED86" s="49"/>
      <c r="EE86" s="49"/>
      <c r="EF86" s="49"/>
      <c r="EG86" s="49"/>
      <c r="EH86" s="49"/>
      <c r="EI86" s="49"/>
      <c r="EJ86" s="49"/>
      <c r="EK86" s="49">
        <f>EK87+EK88+EK89+EK90</f>
        <v>221.31482187500023</v>
      </c>
      <c r="EL86" s="49">
        <f>EL87+EL88+EL89+EL90</f>
        <v>6.630462733333388</v>
      </c>
      <c r="EM86" s="49">
        <f>EM87+EM88+EM89+EM90</f>
        <v>316.7544475499999</v>
      </c>
      <c r="EN86" s="49"/>
      <c r="EO86" s="93">
        <f>EN86+EM86+EL86+EK86+EJ86+EI86+EH86+EG86+EF86+EE86+ED86+EC86</f>
        <v>15248.23743697999</v>
      </c>
      <c r="EP86" s="49">
        <f>EP87+EP88+EP89+EP90</f>
        <v>13130.690949262811</v>
      </c>
      <c r="EQ86" s="49"/>
      <c r="ER86" s="49"/>
      <c r="ES86" s="49"/>
      <c r="ET86" s="49"/>
      <c r="EU86" s="49"/>
      <c r="EV86" s="49"/>
      <c r="EW86" s="49"/>
      <c r="EX86" s="49">
        <f>EX87+EX88+EX89+EX90</f>
        <v>221.31482187500023</v>
      </c>
      <c r="EY86" s="49">
        <f>EY87+EY88+EY89+EY90</f>
        <v>6.630462733333388</v>
      </c>
      <c r="EZ86" s="49">
        <f>EZ87+EZ88+EZ89+EZ90</f>
        <v>316.7544475499999</v>
      </c>
      <c r="FA86" s="49"/>
      <c r="FB86" s="93">
        <f>FA86+EZ86+EY86+EX86+EW86+EV86+EU86+ET86+ES86+ER86+EQ86+EP86</f>
        <v>13675.390681421144</v>
      </c>
      <c r="FC86" s="49">
        <f>FC87+FC88+FC89+FC90</f>
        <v>11887.966513030206</v>
      </c>
      <c r="FD86" s="49"/>
      <c r="FE86" s="49"/>
      <c r="FF86" s="49"/>
      <c r="FG86" s="49"/>
      <c r="FH86" s="49"/>
      <c r="FI86" s="49"/>
      <c r="FJ86" s="49"/>
      <c r="FK86" s="49">
        <f>FK87+FK88+FK89+FK90</f>
        <v>1834.6481552083333</v>
      </c>
      <c r="FL86" s="49">
        <f>FL87+FL88+FL89+FL90</f>
        <v>85.08921813333336</v>
      </c>
      <c r="FM86" s="49">
        <f>FM87+FM88+FM89+FM90</f>
        <v>232.4718427749997</v>
      </c>
      <c r="FN86" s="49"/>
      <c r="FO86" s="93">
        <f>FN86+FM86+FL86+FK86+FJ86+FI86+FH86+FG86+FF86+FE86+FD86+FC86</f>
        <v>14040.175729146871</v>
      </c>
      <c r="FP86" s="49">
        <f>FP87+FP88+FP89+FP90</f>
        <v>9792.277919878397</v>
      </c>
      <c r="FQ86" s="49"/>
      <c r="FR86" s="49"/>
      <c r="FS86" s="49"/>
      <c r="FT86" s="49"/>
      <c r="FU86" s="49"/>
      <c r="FV86" s="49"/>
      <c r="FW86" s="49"/>
      <c r="FX86" s="49">
        <f>FX87+FX88+FX89+FX90</f>
        <v>1027.9814885416667</v>
      </c>
      <c r="FY86" s="49">
        <f>FY87+FY88+FY89+FY90</f>
        <v>85.08921813333336</v>
      </c>
      <c r="FZ86" s="49">
        <f>FZ87+FZ88+FZ89+FZ90</f>
        <v>316.7544475499999</v>
      </c>
      <c r="GA86" s="49"/>
      <c r="GB86" s="93">
        <f>GA86+FZ86+FY86+FX86+FW86+FV86+FU86+FT86+FS86+FR86+FQ86+FP86</f>
        <v>11222.103074103397</v>
      </c>
      <c r="GC86" s="49">
        <f>GC87+GC88+GC89+GC90</f>
        <v>9218.189538600212</v>
      </c>
      <c r="GD86" s="49"/>
      <c r="GE86" s="49"/>
      <c r="GF86" s="49"/>
      <c r="GG86" s="49"/>
      <c r="GH86" s="49"/>
      <c r="GI86" s="49"/>
      <c r="GJ86" s="49"/>
      <c r="GK86" s="49">
        <f>GK87+GK88+GK89+GK90</f>
        <v>150.89413185000024</v>
      </c>
      <c r="GL86" s="49">
        <f>GL87+GL88+GL89+GL90</f>
        <v>85.08921813333336</v>
      </c>
      <c r="GM86" s="49">
        <f>GM87+GM88+GM89+GM90</f>
        <v>316.7544475499999</v>
      </c>
      <c r="GN86" s="49"/>
      <c r="GO86" s="93">
        <f>GN86+GM86+GL86+GK86+GJ86+GI86+GH86+GG86+GF86+GE86+GD86+GC86</f>
        <v>9770.927336133545</v>
      </c>
      <c r="GP86" s="49">
        <f>GP87+GP88+GP89+GP90</f>
        <v>9955.70456183307</v>
      </c>
      <c r="GQ86" s="49"/>
      <c r="GR86" s="49"/>
      <c r="GS86" s="49"/>
      <c r="GT86" s="49"/>
      <c r="GU86" s="49"/>
      <c r="GV86" s="49"/>
      <c r="GW86" s="49"/>
      <c r="GX86" s="49">
        <f>GX87+GX88+GX89+GX90</f>
        <v>150.89413185000024</v>
      </c>
      <c r="GY86" s="49">
        <f>GY87+GY88+GY89+GY90</f>
        <v>85.08921813333336</v>
      </c>
      <c r="GZ86" s="49">
        <f>GZ87+GZ88+GZ89+GZ90</f>
        <v>316.7544475499999</v>
      </c>
      <c r="HA86" s="49"/>
      <c r="HB86" s="93">
        <f>HA86+GZ86+GY86+GX86+GW86+GV86+GU86+GT86+GS86+GR86+GQ86+GP86</f>
        <v>10508.442359366403</v>
      </c>
      <c r="HC86" s="49">
        <f aca="true" t="shared" si="115" ref="HC86:HC100">HB86+GO86+GB86+FO86+FB86+EO86+EB86+DO86+DB86+CO86+CB86+BO86+BB86+AO86+AB86+O86</f>
        <v>649170.8498665581</v>
      </c>
      <c r="HD86" s="49"/>
      <c r="HE86" s="49"/>
      <c r="HF86" s="49"/>
      <c r="HG86" s="49"/>
      <c r="HH86" s="49"/>
      <c r="HI86" s="49"/>
      <c r="HJ86" s="49"/>
      <c r="HK86" s="49"/>
      <c r="HL86" s="49"/>
      <c r="HM86" s="49"/>
      <c r="HN86" s="49"/>
      <c r="HO86" s="93"/>
      <c r="HP86" s="49"/>
      <c r="HQ86" s="49"/>
      <c r="HR86" s="49"/>
      <c r="HS86" s="49"/>
      <c r="HT86" s="49"/>
      <c r="HU86" s="49"/>
      <c r="HV86" s="49"/>
      <c r="HW86" s="49"/>
      <c r="HX86" s="49"/>
      <c r="HY86" s="49"/>
      <c r="HZ86" s="49"/>
      <c r="IA86" s="49"/>
      <c r="IB86" s="93"/>
      <c r="IC86" s="49"/>
      <c r="ID86" s="49"/>
      <c r="IE86" s="49"/>
      <c r="IF86" s="49"/>
      <c r="IG86" s="49"/>
      <c r="IH86" s="49"/>
      <c r="II86" s="49"/>
      <c r="IJ86" s="49"/>
      <c r="IK86" s="49"/>
      <c r="IL86" s="49"/>
      <c r="IM86" s="49"/>
      <c r="IN86" s="49"/>
      <c r="IO86" s="93"/>
      <c r="IP86" s="49"/>
      <c r="IQ86" s="49"/>
      <c r="IR86" s="49"/>
      <c r="IS86" s="49"/>
      <c r="IT86" s="49"/>
      <c r="IU86" s="49"/>
      <c r="IV86" s="49"/>
    </row>
    <row r="87" spans="2:256" ht="14.25" outlineLevel="2">
      <c r="B87" s="103" t="s">
        <v>506</v>
      </c>
      <c r="C87" s="53"/>
      <c r="D87" s="53"/>
      <c r="E87" s="53"/>
      <c r="F87" s="53"/>
      <c r="G87" s="53"/>
      <c r="H87" s="53"/>
      <c r="I87" s="53"/>
      <c r="J87" s="53"/>
      <c r="K87" s="53">
        <v>399875</v>
      </c>
      <c r="L87" s="53"/>
      <c r="M87" s="53"/>
      <c r="N87" s="53"/>
      <c r="O87" s="93">
        <f>N87+M87+L87+K87</f>
        <v>399875</v>
      </c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9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9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9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93"/>
      <c r="BP87" s="53"/>
      <c r="BQ87" s="53"/>
      <c r="BR87" s="53"/>
      <c r="BS87" s="53"/>
      <c r="BT87" s="53"/>
      <c r="BU87" s="53"/>
      <c r="BV87" s="53"/>
      <c r="BW87" s="53"/>
      <c r="BX87" s="53"/>
      <c r="BY87" s="53"/>
      <c r="BZ87" s="53"/>
      <c r="CA87" s="53"/>
      <c r="CB87" s="93"/>
      <c r="CC87" s="53"/>
      <c r="CD87" s="53"/>
      <c r="CE87" s="53"/>
      <c r="CF87" s="53"/>
      <c r="CG87" s="53"/>
      <c r="CH87" s="53"/>
      <c r="CI87" s="53"/>
      <c r="CJ87" s="53"/>
      <c r="CK87" s="53"/>
      <c r="CL87" s="53"/>
      <c r="CM87" s="53"/>
      <c r="CN87" s="53"/>
      <c r="CO87" s="93"/>
      <c r="CP87" s="53"/>
      <c r="CQ87" s="53"/>
      <c r="CR87" s="53"/>
      <c r="CS87" s="53"/>
      <c r="CT87" s="53"/>
      <c r="CU87" s="53"/>
      <c r="CV87" s="53"/>
      <c r="CW87" s="53"/>
      <c r="CX87" s="53"/>
      <c r="CY87" s="53"/>
      <c r="CZ87" s="53"/>
      <c r="DA87" s="53"/>
      <c r="DB87" s="93"/>
      <c r="DC87" s="53"/>
      <c r="DD87" s="53"/>
      <c r="DE87" s="53"/>
      <c r="DF87" s="53"/>
      <c r="DG87" s="53"/>
      <c r="DH87" s="53"/>
      <c r="DI87" s="53"/>
      <c r="DJ87" s="53"/>
      <c r="DK87" s="53"/>
      <c r="DL87" s="53"/>
      <c r="DM87" s="53"/>
      <c r="DN87" s="53"/>
      <c r="DO87" s="93"/>
      <c r="DP87" s="53"/>
      <c r="DQ87" s="53"/>
      <c r="DR87" s="53"/>
      <c r="DS87" s="53"/>
      <c r="DT87" s="53"/>
      <c r="DU87" s="53"/>
      <c r="DV87" s="53"/>
      <c r="DW87" s="53"/>
      <c r="DX87" s="53"/>
      <c r="DY87" s="53"/>
      <c r="DZ87" s="53"/>
      <c r="EA87" s="53"/>
      <c r="EB87" s="93"/>
      <c r="EC87" s="53"/>
      <c r="ED87" s="53"/>
      <c r="EE87" s="53"/>
      <c r="EF87" s="53"/>
      <c r="EG87" s="53"/>
      <c r="EH87" s="53"/>
      <c r="EI87" s="53"/>
      <c r="EJ87" s="53"/>
      <c r="EK87" s="53"/>
      <c r="EL87" s="53"/>
      <c r="EM87" s="53"/>
      <c r="EN87" s="53"/>
      <c r="EO87" s="93"/>
      <c r="EP87" s="53"/>
      <c r="EQ87" s="53"/>
      <c r="ER87" s="53"/>
      <c r="ES87" s="53"/>
      <c r="ET87" s="53"/>
      <c r="EU87" s="53"/>
      <c r="EV87" s="53"/>
      <c r="EW87" s="53"/>
      <c r="EX87" s="53"/>
      <c r="EY87" s="53"/>
      <c r="EZ87" s="53"/>
      <c r="FA87" s="53"/>
      <c r="FB87" s="93"/>
      <c r="FC87" s="53"/>
      <c r="FD87" s="53"/>
      <c r="FE87" s="53"/>
      <c r="FF87" s="53"/>
      <c r="FG87" s="53"/>
      <c r="FH87" s="53"/>
      <c r="FI87" s="53"/>
      <c r="FJ87" s="53"/>
      <c r="FK87" s="53"/>
      <c r="FL87" s="53"/>
      <c r="FM87" s="53"/>
      <c r="FN87" s="53"/>
      <c r="FO87" s="93"/>
      <c r="FP87" s="53"/>
      <c r="FQ87" s="53"/>
      <c r="FR87" s="53"/>
      <c r="FS87" s="53"/>
      <c r="FT87" s="53"/>
      <c r="FU87" s="53"/>
      <c r="FV87" s="53"/>
      <c r="FW87" s="53"/>
      <c r="FX87" s="53"/>
      <c r="FY87" s="53"/>
      <c r="FZ87" s="53"/>
      <c r="GA87" s="53"/>
      <c r="GB87" s="93"/>
      <c r="GC87" s="54"/>
      <c r="GD87" s="53"/>
      <c r="GE87" s="53"/>
      <c r="GF87" s="53"/>
      <c r="GG87" s="53"/>
      <c r="GH87" s="53"/>
      <c r="GI87" s="53"/>
      <c r="GJ87" s="53"/>
      <c r="GK87" s="53"/>
      <c r="GL87" s="53"/>
      <c r="GM87" s="53"/>
      <c r="GN87" s="53"/>
      <c r="GO87" s="93"/>
      <c r="GP87" s="53"/>
      <c r="GQ87" s="53"/>
      <c r="GR87" s="53"/>
      <c r="GS87" s="53"/>
      <c r="GT87" s="53"/>
      <c r="GU87" s="53"/>
      <c r="GV87" s="53"/>
      <c r="GW87" s="53"/>
      <c r="GX87" s="53"/>
      <c r="GY87" s="53"/>
      <c r="GZ87" s="53"/>
      <c r="HA87" s="53"/>
      <c r="HB87" s="93"/>
      <c r="HC87" s="49">
        <f t="shared" si="115"/>
        <v>399875</v>
      </c>
      <c r="HD87" s="53"/>
      <c r="HE87" s="53"/>
      <c r="HF87" s="53"/>
      <c r="HG87" s="53"/>
      <c r="HH87" s="53"/>
      <c r="HI87" s="53"/>
      <c r="HJ87" s="53"/>
      <c r="HK87" s="53"/>
      <c r="HL87" s="53"/>
      <c r="HM87" s="53"/>
      <c r="HN87" s="53"/>
      <c r="HO87" s="93"/>
      <c r="HP87" s="53"/>
      <c r="HQ87" s="53"/>
      <c r="HR87" s="53"/>
      <c r="HS87" s="53"/>
      <c r="HT87" s="53"/>
      <c r="HU87" s="53"/>
      <c r="HV87" s="53"/>
      <c r="HW87" s="53"/>
      <c r="HX87" s="53"/>
      <c r="HY87" s="53"/>
      <c r="HZ87" s="53"/>
      <c r="IA87" s="53"/>
      <c r="IB87" s="93"/>
      <c r="IC87" s="53"/>
      <c r="ID87" s="53"/>
      <c r="IE87" s="53"/>
      <c r="IF87" s="53"/>
      <c r="IG87" s="53"/>
      <c r="IH87" s="53"/>
      <c r="II87" s="53"/>
      <c r="IJ87" s="53"/>
      <c r="IK87" s="53"/>
      <c r="IL87" s="53"/>
      <c r="IM87" s="53"/>
      <c r="IN87" s="53"/>
      <c r="IO87" s="93"/>
      <c r="IP87" s="53"/>
      <c r="IQ87" s="53"/>
      <c r="IR87" s="53"/>
      <c r="IS87" s="53"/>
      <c r="IT87" s="53"/>
      <c r="IU87" s="53"/>
      <c r="IV87" s="53"/>
    </row>
    <row r="88" spans="2:256" ht="14.25" outlineLevel="2">
      <c r="B88" s="103" t="s">
        <v>441</v>
      </c>
      <c r="C88" s="53"/>
      <c r="D88" s="53"/>
      <c r="E88" s="53"/>
      <c r="F88" s="53"/>
      <c r="G88" s="53"/>
      <c r="H88" s="53"/>
      <c r="I88" s="53"/>
      <c r="J88" s="53"/>
      <c r="K88" s="53"/>
      <c r="L88" s="53">
        <f>(K14+K15+K16+K17+K18+K19+K20+K22+K82+K83)/120*20</f>
        <v>60.5605</v>
      </c>
      <c r="M88" s="53">
        <f>(L14+L15+L16+L17+L19+L20+L22)/120*20</f>
        <v>7.227166666666667</v>
      </c>
      <c r="N88" s="53">
        <f>(M14+M15+M16+M17+M19+M20+M22)/120*20</f>
        <v>7.227166666666667</v>
      </c>
      <c r="O88" s="93">
        <f>N88+M88+L88+K88</f>
        <v>75.01483333333333</v>
      </c>
      <c r="P88" s="53">
        <f>(N14+N15+N16+N17+N19+N20+N22)/120*20</f>
        <v>7.227166666666667</v>
      </c>
      <c r="Q88" s="53">
        <f aca="true" t="shared" si="116" ref="Q88:W88">(P14+P15+P16+P17+P19+P20+P22)/120*20</f>
        <v>7.227166666666667</v>
      </c>
      <c r="R88" s="53">
        <f t="shared" si="116"/>
        <v>7.227166666666667</v>
      </c>
      <c r="S88" s="53">
        <f t="shared" si="116"/>
        <v>7.227166666666667</v>
      </c>
      <c r="T88" s="53">
        <f t="shared" si="116"/>
        <v>7.227166666666667</v>
      </c>
      <c r="U88" s="53">
        <f t="shared" si="116"/>
        <v>7.227166666666667</v>
      </c>
      <c r="V88" s="53">
        <f t="shared" si="116"/>
        <v>7.227166666666667</v>
      </c>
      <c r="W88" s="53">
        <f t="shared" si="116"/>
        <v>7.227166666666667</v>
      </c>
      <c r="X88" s="53">
        <f>(W14+W15+W16+W17+W19+W20+W22+K61+W61+T78+W79)/120*20</f>
        <v>3941.4831</v>
      </c>
      <c r="Y88" s="53">
        <f>(X14+X15+X16+X17+X18+X19+X20+X22+X27+X82)/120*20</f>
        <v>68.07383333333333</v>
      </c>
      <c r="Z88" s="53">
        <f>(Y14+Y15+Y16+Y17+Y19+Y20+Y22+Y27)/120*20</f>
        <v>9.740499999999999</v>
      </c>
      <c r="AA88" s="53">
        <f>(Z14+Z15+Z16+Z17+Z19+Z20+Z22+Z27)/120*20</f>
        <v>9.740499999999999</v>
      </c>
      <c r="AB88" s="93">
        <f>AA88+Z88+Y88+X88+W88+V88+U88+T88+S88+R88+Q88+P88</f>
        <v>4086.8552666666656</v>
      </c>
      <c r="AC88" s="53">
        <f>(AA14+AA15+AA16+AA17+AA19+AA20+AA22+AA27)/120*20</f>
        <v>9.740499999999999</v>
      </c>
      <c r="AD88" s="53">
        <f aca="true" t="shared" si="117" ref="AD88:AJ88">(AC14+AC15+AC16+AC17+AC19+AC20+AC22+AC27)/120*20</f>
        <v>9.740499999999999</v>
      </c>
      <c r="AE88" s="53">
        <f t="shared" si="117"/>
        <v>9.740499999999999</v>
      </c>
      <c r="AF88" s="53">
        <f t="shared" si="117"/>
        <v>9.740499999999999</v>
      </c>
      <c r="AG88" s="53">
        <f t="shared" si="117"/>
        <v>9.740499999999999</v>
      </c>
      <c r="AH88" s="53">
        <f t="shared" si="117"/>
        <v>9.740499999999999</v>
      </c>
      <c r="AI88" s="53">
        <f t="shared" si="117"/>
        <v>9.740499999999999</v>
      </c>
      <c r="AJ88" s="53">
        <f t="shared" si="117"/>
        <v>9.740499999999999</v>
      </c>
      <c r="AK88" s="53">
        <f>(AJ14+AJ15+AJ16+AJ17+AJ19+AJ20+AJ22+AJ27+X62+AJ63+X64+AJ65+AG70+AJ71+AG72+AJ73+AG80+AJ81)/120*20</f>
        <v>26711.488384999997</v>
      </c>
      <c r="AL88" s="53">
        <f>(AK14+AK15+AK16+AK17+AK18+AK19+AK20+AK22+AK25+AK26+AK27+AK30+AK31+AK32+AK37+AK38+AK39+AK40+AK82)/120*20</f>
        <v>615.7405144666666</v>
      </c>
      <c r="AM88" s="53">
        <f>(AL14+AL15+AL16+AL17+AL19+AL20+AL22+AL26+AL27+AL30+AL31+AL32+AL37+AL38+AL39+AL40)/120*20-AL10/120*20</f>
        <v>149.6477358000002</v>
      </c>
      <c r="AN88" s="53"/>
      <c r="AO88" s="93">
        <f>AN88+AM88+AL88+AK88+AJ88+AI88+AH88+AG88+AF88+AE88+AD88+AC88</f>
        <v>27554.800635266663</v>
      </c>
      <c r="AP88" s="53"/>
      <c r="AQ88" s="53"/>
      <c r="AR88" s="53"/>
      <c r="AS88" s="53"/>
      <c r="AT88" s="53"/>
      <c r="AU88" s="53"/>
      <c r="AV88" s="53"/>
      <c r="AW88" s="53"/>
      <c r="AX88" s="53">
        <f>(AW14+AW15+AW16+AW17+AW19+AW20+AW22+AW26+AW27+AW30+AW31+AW32+AW37+AW38+AW39+AW40+AK66+AW67+AK68+AW69+AT74+AW75+AT76+AW77)/120*20-AW10/120*20</f>
        <v>37844.95332003334</v>
      </c>
      <c r="AY88" s="53">
        <f>(AX14+AX15+AX16+AX17+AX18+AX19+AX20+AX22+AX25+AX26+AX27+AX30+AX31+AX32+AX37+AX38+AX39+AX40)/120*20-AX10/120*20</f>
        <v>768.3831330666667</v>
      </c>
      <c r="AZ88" s="53">
        <f>(AY14+AY15+AY16+AY17+AY19+AY20+AY22+AY26+AY27+AY30+AY31+AY32+AY37+AY38+AY39+AY40)/120*20-AY10/120*20</f>
        <v>316.7544475499999</v>
      </c>
      <c r="BA88" s="53"/>
      <c r="BB88" s="93">
        <f>BA88+AZ88+AY88+AX88+AW88+AV88+AU88+AT88+AS88+AR88+AQ88+AP88</f>
        <v>38930.09090065001</v>
      </c>
      <c r="BC88" s="53"/>
      <c r="BD88" s="53"/>
      <c r="BE88" s="53"/>
      <c r="BF88" s="53"/>
      <c r="BG88" s="53"/>
      <c r="BH88" s="53"/>
      <c r="BI88" s="53"/>
      <c r="BJ88" s="53"/>
      <c r="BK88" s="53">
        <f>(BJ14+BJ15+BJ16+BJ17+BJ19+BJ20+BJ22+BJ26+BJ27+BJ30+BJ31+BJ32+BJ37+BJ38+BJ39+BJ40)/120*20-BJ10/120*20</f>
        <v>150.89413185000024</v>
      </c>
      <c r="BL88" s="53">
        <f>(BK14+BK15+BK16+BK17+BK18+BK19+BK20+BK22+BK25+BK26+BK27+BK30+BK31+BK32+BK37+BK38+BK39+BK40)/120*20-BK10/120*20</f>
        <v>85.08921813333336</v>
      </c>
      <c r="BM88" s="53">
        <f>(BL14+BL15+BL16+BL17+BL19+BL20+BL22+BL26+BL27+BL30+BL31+BL32+BL37+BL38+BL39+BL40)/120*20-BL10/120*20</f>
        <v>316.7544475499999</v>
      </c>
      <c r="BN88" s="53"/>
      <c r="BO88" s="93">
        <f>BN88+BM88+BL88+BK88+BJ88+BI88+BH88+BG88+BF88+BE88+BD88+BC88</f>
        <v>552.7377975333335</v>
      </c>
      <c r="BP88" s="53"/>
      <c r="BQ88" s="53"/>
      <c r="BR88" s="53"/>
      <c r="BS88" s="53"/>
      <c r="BT88" s="53"/>
      <c r="BU88" s="53"/>
      <c r="BV88" s="53"/>
      <c r="BW88" s="53"/>
      <c r="BX88" s="53">
        <f>(BW14+BW15+BW16+BW17+BW19+BW20+BW22+BW26+BW27+BW30+BW31+BW32+BW37+BW38+BW39+BW40)/120*20-BW10/120*20</f>
        <v>221.31482187500023</v>
      </c>
      <c r="BY88" s="53">
        <f>(BX14+BX15+BX16+BX17+BX18+BX19+BX20+BX22+BX25+BX26+BX27+BX30+BX31+BX32+BX37+BX38+BX39+BX40)/120*20-BX10/120*20</f>
        <v>6.630462733333388</v>
      </c>
      <c r="BZ88" s="53">
        <f>(BY14+BY15+BY16+BY17+BY19+BY20+BY22+BY26+BY27+BY30+BY31+BY32+BY37+BY38+BY39+BY40)/120*20-BY10/120*20</f>
        <v>316.7544475499999</v>
      </c>
      <c r="CA88" s="53"/>
      <c r="CB88" s="93">
        <f>CA88+BZ88+BY88+BX88+BW88+BV88+BU88+BT88+BS88+BR88+BQ88+BP88</f>
        <v>544.6997321583335</v>
      </c>
      <c r="CC88" s="53"/>
      <c r="CD88" s="53"/>
      <c r="CE88" s="53"/>
      <c r="CF88" s="53"/>
      <c r="CG88" s="53"/>
      <c r="CH88" s="53"/>
      <c r="CI88" s="53"/>
      <c r="CJ88" s="53"/>
      <c r="CK88" s="53">
        <f>(CJ14+CJ15+CJ16+CJ17+CJ19+CJ20+CJ22+CJ26+CJ27+CJ30+CJ31+CJ32+CJ37+CJ38+CJ39+CJ40)/120*20-CJ10/120*20</f>
        <v>221.31482187500023</v>
      </c>
      <c r="CL88" s="53">
        <f>(CK14+CK15+CK16+CK17+CK18+CK19+CK20+CK22+CK25+CK26+CK27+CK30+CK31+CK32+CK37+CK38+CK39+CK40)/120*20-CK10/120*20</f>
        <v>85.08921813333336</v>
      </c>
      <c r="CM88" s="53">
        <f>(CL14+CL15+CL16+CL17+CL19+CL20+CL22+CL26+CL27+CL30+CL31+CL32+CL37+CL38+CL39+CL40)/120*20-CL10/120*20</f>
        <v>232.4718427749997</v>
      </c>
      <c r="CN88" s="53"/>
      <c r="CO88" s="93">
        <f>CN88+CM88+CL88+CK88+CJ88+CI88+CH88+CG88+CF88+CE88+CD88+CC88</f>
        <v>538.8758827833333</v>
      </c>
      <c r="CP88" s="53"/>
      <c r="CQ88" s="53"/>
      <c r="CR88" s="53"/>
      <c r="CS88" s="53"/>
      <c r="CT88" s="53"/>
      <c r="CU88" s="53"/>
      <c r="CV88" s="53"/>
      <c r="CW88" s="53"/>
      <c r="CX88" s="53">
        <f>(CW14+CW15+CW16+CW17+CW18+CW19+CW20+CW22+CW25+CW26+CW27+CW30+CW31+CW32+CW37+CW38+CW39+CW40+CT70+CW71)/120*20-(CW10+CW58)/120*20</f>
        <v>1834.6481552083333</v>
      </c>
      <c r="CY88" s="53">
        <f>(CX14+CX15+CX16+CX17+CX18+CX19+CX20+CX22+CX25+CX26+CX27+CX30+CX31+CX32+CX37+CX38+CX39+CX40)/120*20-CX10/120*20</f>
        <v>85.08921813333336</v>
      </c>
      <c r="CZ88" s="53">
        <f>(CY14+CY15+CY16+CY17+CY19+CY20+CY22+CY26+CY27+CY30+CY31+CY32+CY37+CY38+CY39+CY40)/120*20-CY10/120*20</f>
        <v>316.7544475499999</v>
      </c>
      <c r="DA88" s="53"/>
      <c r="DB88" s="93">
        <f>DA88+CZ88+CY88+CX88+CW88+CV88+CU88+CT88+CS88+CR88+CQ88+CP88</f>
        <v>2236.4918208916665</v>
      </c>
      <c r="DC88" s="53"/>
      <c r="DD88" s="53"/>
      <c r="DE88" s="53"/>
      <c r="DF88" s="53"/>
      <c r="DG88" s="53"/>
      <c r="DH88" s="53"/>
      <c r="DI88" s="53"/>
      <c r="DJ88" s="53"/>
      <c r="DK88" s="53">
        <f>(DJ14+DJ15+DJ16+DJ17+DJ18+DJ19+DJ20+DJ22+DJ25+DJ26+DJ27+DJ30+DJ31+DJ32+DJ37+DJ38+DJ39+DJ40+DG74+DJ75)/120*20-(DJ10+DJ58)/120*20</f>
        <v>1027.9814885416667</v>
      </c>
      <c r="DL88" s="53">
        <f>(DK14+DK15+DK16+DK17+DK18+DK19+DK20+DK22+DK25+DK26+DK27+DK30+DK31+DK32+DK37+DK38+DK39+DK40)/120*20-DK10/120*20</f>
        <v>85.08921813333336</v>
      </c>
      <c r="DM88" s="53">
        <f>(DL14+DL15+DL16+DL17+DL19+DL20+DL22+DL26+DL27+DL30+DL31+DL32+DL37+DL38+DL39+DL40)/120*20-DL10/120*20</f>
        <v>316.7544475499999</v>
      </c>
      <c r="DN88" s="53"/>
      <c r="DO88" s="93">
        <f>DN88+DM88+DL88+DK88+DJ88+DI88+DH88+DG88+DF88+DE88+DD88+DC88</f>
        <v>1429.825154225</v>
      </c>
      <c r="DP88" s="53"/>
      <c r="DQ88" s="53"/>
      <c r="DR88" s="53"/>
      <c r="DS88" s="53"/>
      <c r="DT88" s="53"/>
      <c r="DU88" s="53"/>
      <c r="DV88" s="53"/>
      <c r="DW88" s="53"/>
      <c r="DX88" s="53">
        <f>(DW14+DW15+DW16+DW17+DW18+DW19+DW20+DW22+DW25+DW26+DW27+DW30+DW31+DW32+DW37+DW38+DW39+DW40+DT74+DW75)/120*20-(DW10+DW58)/120*20</f>
        <v>150.89413185000024</v>
      </c>
      <c r="DY88" s="53">
        <f>(DX14+DX15+DX16+DX17+DX18+DX19+DX20+DX22+DX25+DX26+DX27+DX30+DX31+DX32+DX37+DX38+DX39+DX40)/120*20-DX10/120*20</f>
        <v>85.08921813333336</v>
      </c>
      <c r="DZ88" s="53">
        <f>(DY14+DY15+DY16+DY17+DY19+DY20+DY22+DY26+DY27+DY30+DY31+DY32+DY37+DY38+DY39+DY40)/120*20-DY10/120*20</f>
        <v>316.7544475499999</v>
      </c>
      <c r="EA88" s="53"/>
      <c r="EB88" s="93">
        <f>EA88+DZ88+DY88+DX88+DW88+DV88+DU88+DT88+DS88+DR88+DQ88+DP88</f>
        <v>552.7377975333335</v>
      </c>
      <c r="EC88" s="53"/>
      <c r="ED88" s="53"/>
      <c r="EE88" s="53"/>
      <c r="EF88" s="53"/>
      <c r="EG88" s="53"/>
      <c r="EH88" s="53"/>
      <c r="EI88" s="53"/>
      <c r="EJ88" s="53"/>
      <c r="EK88" s="53">
        <f>(EJ14+EJ15+EJ16+EJ17+EJ18+EJ19+EJ20+EJ22+EJ25+EJ26+EJ27+EJ30+EJ31+EJ32+EJ37+EJ38+EJ39+EJ40+EG74+EJ75)/120*20-(EJ10+EJ58)/120*20</f>
        <v>221.31482187500023</v>
      </c>
      <c r="EL88" s="53">
        <f>(EK14+EK15+EK16+EK17+EK18+EK19+EK20+EK22+EK25+EK26+EK27+EK30+EK31+EK32+EK37+EK38+EK39+EK40)/120*20-EK10/120*20</f>
        <v>6.630462733333388</v>
      </c>
      <c r="EM88" s="53">
        <f>(EL14+EL15+EL16+EL17+EL19+EL20+EL22+EL26+EL27+EL30+EL31+EL32+EL37+EL38+EL39+EL40)/120*20-EL10/120*20</f>
        <v>316.7544475499999</v>
      </c>
      <c r="EN88" s="53"/>
      <c r="EO88" s="93">
        <f>EN88+EM88+EL88+EK88+EJ88+EI88+EH88+EG88+EF88+EE88+ED88+EC88</f>
        <v>544.6997321583335</v>
      </c>
      <c r="EP88" s="53"/>
      <c r="EQ88" s="53"/>
      <c r="ER88" s="53"/>
      <c r="ES88" s="53"/>
      <c r="ET88" s="53"/>
      <c r="EU88" s="53"/>
      <c r="EV88" s="53"/>
      <c r="EW88" s="53"/>
      <c r="EX88" s="53">
        <f>(EW14+EW15+EW16+EW17+EW18+EW19+EW20+EW22+EW25+EW26+EW27+EW30+EW31+EW32+EW37+EW38+EW39+EW40+ET74+EW75)/120*20-(EW10+EW58)/120*20</f>
        <v>221.31482187500023</v>
      </c>
      <c r="EY88" s="53">
        <f>(EX14+EX15+EX16+EX17+EX18+EX19+EX20+EX22+EX25+EX26+EX27+EX30+EX31+EX32+EX37+EX38+EX39+EX40)/120*20-EX10/120*20</f>
        <v>6.630462733333388</v>
      </c>
      <c r="EZ88" s="53">
        <f>(EY14+EY15+EY16+EY17+EY19+EY20+EY22+EY26+EY27+EY30+EY31+EY32+EY37+EY38+EY39+EY40)/120*20-EY10/120*20</f>
        <v>316.7544475499999</v>
      </c>
      <c r="FA88" s="53"/>
      <c r="FB88" s="93">
        <f>FA88+EZ88+EY88+EX88+EW88+EV88+EU88+ET88+ES88+ER88+EQ88+EP88</f>
        <v>544.6997321583335</v>
      </c>
      <c r="FC88" s="53"/>
      <c r="FD88" s="53"/>
      <c r="FE88" s="53"/>
      <c r="FF88" s="53"/>
      <c r="FG88" s="53"/>
      <c r="FH88" s="53"/>
      <c r="FI88" s="53"/>
      <c r="FJ88" s="53"/>
      <c r="FK88" s="53">
        <f>(FJ14+FJ15+FJ16+FJ17+FJ19+FJ20+FJ22+FJ26+FJ27+FJ30+FJ31+FJ32+FJ37+FJ38+FJ39+FJ40+FG70+FJ71)/120*20-(FJ10+FJ58)/120*20</f>
        <v>1834.6481552083333</v>
      </c>
      <c r="FL88" s="53">
        <f>(FK14+FK15+FK16+FK17+FK18+FK19+FK20+FK22+FK25+FK26+FK27+FK30+FK31+FK32+FK37+FK38+FK39+FK40)/120*20-FK10/120*20</f>
        <v>85.08921813333336</v>
      </c>
      <c r="FM88" s="53">
        <f>(FL14+FL15+FL16+FL17+FL19+FL20+FL22+FL26+FL27+FL30+FL31+FL32+FL37+FL38+FL39+FL40)/120*20-FL10/120*20</f>
        <v>232.4718427749997</v>
      </c>
      <c r="FN88" s="53"/>
      <c r="FO88" s="93">
        <f>FN88+FM88+FL88+FK88+FJ88+FI88+FH88+FG88+FF88+FE88+FD88+FC88</f>
        <v>2152.2092161166665</v>
      </c>
      <c r="FP88" s="53"/>
      <c r="FQ88" s="53"/>
      <c r="FR88" s="53"/>
      <c r="FS88" s="53"/>
      <c r="FT88" s="53"/>
      <c r="FU88" s="53"/>
      <c r="FV88" s="53"/>
      <c r="FW88" s="53"/>
      <c r="FX88" s="53">
        <f>(FW14+FW15+FW16+FW17+FW18+FW19+FW20+FW22+FW25+FW26+FW27+FW30+FW31+FW32+FW37+FW38+FW39+FW40+FT74+FW75)/120*20-(FW10+FW58)/120*20</f>
        <v>1027.9814885416667</v>
      </c>
      <c r="FY88" s="53">
        <f>(FX14+FX15+FX16+FX17+FX18+FX19+FX20+FX22+FX25+FX26+FX27+FX30+FX31+FX32+FX37+FX38+FX39+FX40)/120*20-FX10/120*20</f>
        <v>85.08921813333336</v>
      </c>
      <c r="FZ88" s="53">
        <f>(FY14+FY15+FY16+FY17+FY19+FY20+FY22+FY26+FY27+FY30+FY31+FY32+FY37+FY38+FY39+FY40)/120*20-FY10/120*20</f>
        <v>316.7544475499999</v>
      </c>
      <c r="GA88" s="53"/>
      <c r="GB88" s="93">
        <f>GA88+FZ88+FY88+FX88+FW88+FV88+FU88+FT88+FS88+FR88+FQ88+FP88</f>
        <v>1429.825154225</v>
      </c>
      <c r="GC88" s="54"/>
      <c r="GD88" s="53"/>
      <c r="GE88" s="53"/>
      <c r="GF88" s="53"/>
      <c r="GG88" s="53"/>
      <c r="GH88" s="53"/>
      <c r="GI88" s="53"/>
      <c r="GJ88" s="53"/>
      <c r="GK88" s="53">
        <f>(GJ14+GJ15+GJ16+GJ17+GJ18+GJ19+GJ20+GJ22+GJ25+GJ26+GJ27+GJ30+GJ31+GJ32+GJ37+GJ38+GJ39+GJ40+GG74+GJ75)/120*20-(GJ10+GJ58)/120*20</f>
        <v>150.89413185000024</v>
      </c>
      <c r="GL88" s="53">
        <f>(GK14+GK15+GK16+GK17+GK18+GK19+GK20+GK22+GK25+GK26+GK27+GK30+GK31+GK32+GK37+GK38+GK39+GK40)/120*20-GK10/120*20</f>
        <v>85.08921813333336</v>
      </c>
      <c r="GM88" s="53">
        <f>(GL14+GL15+GL16+GL17+GL19+GL20+GL22+GL26+GL27+GL30+GL31+GL32+GL37+GL38+GL39+GL40)/120*20-GL10/120*20</f>
        <v>316.7544475499999</v>
      </c>
      <c r="GN88" s="53"/>
      <c r="GO88" s="93">
        <f>GN88+GM88+GL88+GK88+GJ88+GI88+GH88+GG88+GF88+GE88+GD88+GC88</f>
        <v>552.7377975333335</v>
      </c>
      <c r="GP88" s="53"/>
      <c r="GQ88" s="53"/>
      <c r="GR88" s="53"/>
      <c r="GS88" s="53"/>
      <c r="GT88" s="53"/>
      <c r="GU88" s="53"/>
      <c r="GV88" s="53"/>
      <c r="GW88" s="53"/>
      <c r="GX88" s="53">
        <f>(GW14+GW15+GW16+GW17+GW18+GW19+GW20+GW22+GW25+GW26+GW27+GW30+GW31+GW32+GW37+GW38+GW39+GW40+GT74+GW75)/120*20-(GW10+GW58)/120*20</f>
        <v>150.89413185000024</v>
      </c>
      <c r="GY88" s="53">
        <f>(GX14+GX15+GX16+GX17+GX18+GX19+GX20+GX22+GX25+GX26+GX27+GX30+GX31+GX32+GX37+GX38+GX39+GX40)/120*20-GX10/120*20</f>
        <v>85.08921813333336</v>
      </c>
      <c r="GZ88" s="53">
        <f>(GY14+GY15+GY16+GY17+GY19+GY20+GY22+GY26+GY27+GY30+GY31+GY32+GY37+GY38+GY39+GY40)/120*20-GY10/120*20</f>
        <v>316.7544475499999</v>
      </c>
      <c r="HA88" s="53"/>
      <c r="HB88" s="93">
        <f>HA88+GZ88+GY88+GX88+GW88+GV88+GU88+GT88+GS88+GR88+GQ88+GP88</f>
        <v>552.7377975333335</v>
      </c>
      <c r="HC88" s="49">
        <f t="shared" si="115"/>
        <v>82279.03925076667</v>
      </c>
      <c r="HD88" s="53"/>
      <c r="HE88" s="53"/>
      <c r="HF88" s="53"/>
      <c r="HG88" s="53"/>
      <c r="HH88" s="53"/>
      <c r="HI88" s="53"/>
      <c r="HJ88" s="53"/>
      <c r="HK88" s="53"/>
      <c r="HL88" s="53"/>
      <c r="HM88" s="53"/>
      <c r="HN88" s="53"/>
      <c r="HO88" s="93"/>
      <c r="HP88" s="53"/>
      <c r="HQ88" s="53"/>
      <c r="HR88" s="53"/>
      <c r="HS88" s="53"/>
      <c r="HT88" s="53"/>
      <c r="HU88" s="53"/>
      <c r="HV88" s="53"/>
      <c r="HW88" s="53"/>
      <c r="HX88" s="53"/>
      <c r="HY88" s="53"/>
      <c r="HZ88" s="53"/>
      <c r="IA88" s="53"/>
      <c r="IB88" s="93"/>
      <c r="IC88" s="53"/>
      <c r="ID88" s="53"/>
      <c r="IE88" s="53"/>
      <c r="IF88" s="53"/>
      <c r="IG88" s="53"/>
      <c r="IH88" s="53"/>
      <c r="II88" s="53"/>
      <c r="IJ88" s="53"/>
      <c r="IK88" s="53"/>
      <c r="IL88" s="53"/>
      <c r="IM88" s="53"/>
      <c r="IN88" s="53"/>
      <c r="IO88" s="93"/>
      <c r="IP88" s="53"/>
      <c r="IQ88" s="53"/>
      <c r="IR88" s="53"/>
      <c r="IS88" s="53"/>
      <c r="IT88" s="53"/>
      <c r="IU88" s="53"/>
      <c r="IV88" s="53"/>
    </row>
    <row r="89" spans="2:256" ht="14.25" outlineLevel="2">
      <c r="B89" s="103" t="s">
        <v>442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9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9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9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93"/>
      <c r="BC89" s="53">
        <f>BB54</f>
        <v>1401.022011753931</v>
      </c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93">
        <f>BN89+BM89+BL89+BK89+BJ89+BI89+BH89+BG89+BF89+BE89+BD89+BC89</f>
        <v>1401.022011753931</v>
      </c>
      <c r="BP89" s="53">
        <f>BO54</f>
        <v>5432.641418945135</v>
      </c>
      <c r="BQ89" s="53"/>
      <c r="BR89" s="53"/>
      <c r="BS89" s="53"/>
      <c r="BT89" s="53"/>
      <c r="BU89" s="53"/>
      <c r="BV89" s="53"/>
      <c r="BW89" s="53"/>
      <c r="BX89" s="53"/>
      <c r="BY89" s="53"/>
      <c r="BZ89" s="53"/>
      <c r="CA89" s="53"/>
      <c r="CB89" s="93">
        <f>CA89+BZ89+BY89+BX89+BW89+BV89+BU89+BT89+BS89+BR89+BQ89+BP89</f>
        <v>5432.641418945135</v>
      </c>
      <c r="CC89" s="53">
        <f>CB54</f>
        <v>7782.552371763723</v>
      </c>
      <c r="CD89" s="53"/>
      <c r="CE89" s="53"/>
      <c r="CF89" s="53"/>
      <c r="CG89" s="53"/>
      <c r="CH89" s="53"/>
      <c r="CI89" s="53"/>
      <c r="CJ89" s="53"/>
      <c r="CK89" s="53"/>
      <c r="CL89" s="53"/>
      <c r="CM89" s="53"/>
      <c r="CN89" s="53"/>
      <c r="CO89" s="93">
        <f>CN89+CM89+CL89+CK89+CJ89+CI89+CH89+CG89+CF89+CE89+CD89+CC89</f>
        <v>7782.552371763723</v>
      </c>
      <c r="CP89" s="53">
        <f>CO54</f>
        <v>7969.734222800652</v>
      </c>
      <c r="CQ89" s="53"/>
      <c r="CR89" s="53"/>
      <c r="CS89" s="53"/>
      <c r="CT89" s="53"/>
      <c r="CU89" s="53"/>
      <c r="CV89" s="53"/>
      <c r="CW89" s="53"/>
      <c r="CX89" s="53"/>
      <c r="CY89" s="53"/>
      <c r="CZ89" s="53"/>
      <c r="DA89" s="53"/>
      <c r="DB89" s="93">
        <f>DA89+CZ89+CY89+CX89+CW89+CV89+CU89+CT89+CS89+CR89+CQ89+CP89</f>
        <v>7969.734222800652</v>
      </c>
      <c r="DC89" s="53">
        <f>DB54</f>
        <v>7693.391940726657</v>
      </c>
      <c r="DD89" s="53"/>
      <c r="DE89" s="53"/>
      <c r="DF89" s="53"/>
      <c r="DG89" s="53"/>
      <c r="DH89" s="53"/>
      <c r="DI89" s="53"/>
      <c r="DJ89" s="53"/>
      <c r="DK89" s="53"/>
      <c r="DL89" s="53"/>
      <c r="DM89" s="53"/>
      <c r="DN89" s="53"/>
      <c r="DO89" s="93">
        <f>DN89+DM89+DL89+DK89+DJ89+DI89+DH89+DG89+DF89+DE89+DD89+DC89</f>
        <v>7693.391940726657</v>
      </c>
      <c r="DP89" s="53">
        <f>DO54</f>
        <v>7367.53881488537</v>
      </c>
      <c r="DQ89" s="53"/>
      <c r="DR89" s="53"/>
      <c r="DS89" s="53"/>
      <c r="DT89" s="53"/>
      <c r="DU89" s="53"/>
      <c r="DV89" s="53"/>
      <c r="DW89" s="53"/>
      <c r="DX89" s="53"/>
      <c r="DY89" s="53"/>
      <c r="DZ89" s="53"/>
      <c r="EA89" s="53"/>
      <c r="EB89" s="93">
        <f>EA89+DZ89+DY89+DX89+DW89+DV89+DU89+DT89+DS89+DR89+DQ89+DP89</f>
        <v>7367.53881488537</v>
      </c>
      <c r="EC89" s="53">
        <f>EB54</f>
        <v>7214.44650493357</v>
      </c>
      <c r="ED89" s="53"/>
      <c r="EE89" s="53"/>
      <c r="EF89" s="53"/>
      <c r="EG89" s="53"/>
      <c r="EH89" s="53"/>
      <c r="EI89" s="53"/>
      <c r="EJ89" s="53"/>
      <c r="EK89" s="53"/>
      <c r="EL89" s="53"/>
      <c r="EM89" s="53"/>
      <c r="EN89" s="53"/>
      <c r="EO89" s="93">
        <f>EN89+EM89+EL89+EK89+EJ89+EI89+EH89+EG89+EF89+EE89+ED89+EC89</f>
        <v>7214.44650493357</v>
      </c>
      <c r="EP89" s="53">
        <f>EO54</f>
        <v>7037.5189457205925</v>
      </c>
      <c r="EQ89" s="53"/>
      <c r="ER89" s="53"/>
      <c r="ES89" s="53"/>
      <c r="ET89" s="53"/>
      <c r="EU89" s="53"/>
      <c r="EV89" s="53"/>
      <c r="EW89" s="53"/>
      <c r="EX89" s="53"/>
      <c r="EY89" s="53"/>
      <c r="EZ89" s="53"/>
      <c r="FA89" s="53"/>
      <c r="FB89" s="93">
        <f>FA89+EZ89+EY89+EX89+EW89+EV89+EU89+ET89+ES89+ER89+EQ89+EP89</f>
        <v>7037.5189457205925</v>
      </c>
      <c r="FC89" s="53">
        <f>FB54</f>
        <v>7150.439287986623</v>
      </c>
      <c r="FD89" s="53"/>
      <c r="FE89" s="53"/>
      <c r="FF89" s="53"/>
      <c r="FG89" s="53"/>
      <c r="FH89" s="53"/>
      <c r="FI89" s="53"/>
      <c r="FJ89" s="53"/>
      <c r="FK89" s="53"/>
      <c r="FL89" s="53"/>
      <c r="FM89" s="53"/>
      <c r="FN89" s="53"/>
      <c r="FO89" s="93">
        <f>FN89+FM89+FL89+FK89+FJ89+FI89+FH89+FG89+FF89+FE89+FD89+FC89</f>
        <v>7150.439287986623</v>
      </c>
      <c r="FP89" s="53">
        <f>FO54</f>
        <v>6361.500576740102</v>
      </c>
      <c r="FQ89" s="53"/>
      <c r="FR89" s="53"/>
      <c r="FS89" s="53"/>
      <c r="FT89" s="53"/>
      <c r="FU89" s="53"/>
      <c r="FV89" s="53"/>
      <c r="FW89" s="53"/>
      <c r="FX89" s="53"/>
      <c r="FY89" s="53"/>
      <c r="FZ89" s="53"/>
      <c r="GA89" s="53"/>
      <c r="GB89" s="93">
        <f>GA89+FZ89+FY89+FX89+FW89+FV89+FU89+FT89+FS89+FR89+FQ89+FP89</f>
        <v>6361.500576740102</v>
      </c>
      <c r="GC89" s="53">
        <f>GB54</f>
        <v>6456.403234109739</v>
      </c>
      <c r="GD89" s="53"/>
      <c r="GE89" s="53"/>
      <c r="GF89" s="53"/>
      <c r="GG89" s="53"/>
      <c r="GH89" s="53"/>
      <c r="GI89" s="53"/>
      <c r="GJ89" s="53"/>
      <c r="GK89" s="53"/>
      <c r="GL89" s="53"/>
      <c r="GM89" s="53"/>
      <c r="GN89" s="53"/>
      <c r="GO89" s="93">
        <f>GN89+GM89+GL89+GK89+GJ89+GI89+GH89+GG89+GF89+GE89+GD89+GC89</f>
        <v>6456.403234109739</v>
      </c>
      <c r="GP89" s="53">
        <f>GO54</f>
        <v>7549.093398856884</v>
      </c>
      <c r="GQ89" s="53"/>
      <c r="GR89" s="53"/>
      <c r="GS89" s="53"/>
      <c r="GT89" s="53"/>
      <c r="GU89" s="53"/>
      <c r="GV89" s="53"/>
      <c r="GW89" s="53"/>
      <c r="GX89" s="53"/>
      <c r="GY89" s="53"/>
      <c r="GZ89" s="53"/>
      <c r="HA89" s="53"/>
      <c r="HB89" s="93">
        <f>HA89+GZ89+GY89+GX89+GW89+GV89+GU89+GT89+GS89+GR89+GQ89+GP89</f>
        <v>7549.093398856884</v>
      </c>
      <c r="HC89" s="49">
        <f t="shared" si="115"/>
        <v>79416.28272922298</v>
      </c>
      <c r="HD89" s="53"/>
      <c r="HE89" s="53"/>
      <c r="HF89" s="53"/>
      <c r="HG89" s="53"/>
      <c r="HH89" s="53"/>
      <c r="HI89" s="53"/>
      <c r="HJ89" s="53"/>
      <c r="HK89" s="53"/>
      <c r="HL89" s="53"/>
      <c r="HM89" s="53"/>
      <c r="HN89" s="53"/>
      <c r="HO89" s="93"/>
      <c r="HP89" s="53"/>
      <c r="HQ89" s="53"/>
      <c r="HR89" s="53"/>
      <c r="HS89" s="53"/>
      <c r="HT89" s="53"/>
      <c r="HU89" s="53"/>
      <c r="HV89" s="53"/>
      <c r="HW89" s="53"/>
      <c r="HX89" s="53"/>
      <c r="HY89" s="53"/>
      <c r="HZ89" s="53"/>
      <c r="IA89" s="53"/>
      <c r="IB89" s="93"/>
      <c r="IC89" s="53"/>
      <c r="ID89" s="53"/>
      <c r="IE89" s="53"/>
      <c r="IF89" s="53"/>
      <c r="IG89" s="53"/>
      <c r="IH89" s="53"/>
      <c r="II89" s="53"/>
      <c r="IJ89" s="53"/>
      <c r="IK89" s="53"/>
      <c r="IL89" s="53"/>
      <c r="IM89" s="53"/>
      <c r="IN89" s="53"/>
      <c r="IO89" s="93"/>
      <c r="IP89" s="53"/>
      <c r="IQ89" s="53"/>
      <c r="IR89" s="53"/>
      <c r="IS89" s="53"/>
      <c r="IT89" s="53"/>
      <c r="IU89" s="53"/>
      <c r="IV89" s="53"/>
    </row>
    <row r="90" spans="2:256" ht="14.25" outlineLevel="2">
      <c r="B90" s="103" t="s">
        <v>419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9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9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9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93"/>
      <c r="BC90" s="53">
        <f>'Расчёт налога на имущество'!Q29/1000*(-1)</f>
        <v>5659.870557523768</v>
      </c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93">
        <f>BN90+BM90+BL90+BK90+BJ90+BI90+BH90+BG90+BF90+BE90+BD90+BC90</f>
        <v>5659.870557523768</v>
      </c>
      <c r="BP90" s="53">
        <f>'Расчёт налога на имущество'!Q43/1000*(-1)</f>
        <v>13703.547509203177</v>
      </c>
      <c r="BQ90" s="53"/>
      <c r="BR90" s="53"/>
      <c r="BS90" s="53"/>
      <c r="BT90" s="53"/>
      <c r="BU90" s="53"/>
      <c r="BV90" s="53"/>
      <c r="BW90" s="53"/>
      <c r="BX90" s="53"/>
      <c r="BY90" s="53"/>
      <c r="BZ90" s="53"/>
      <c r="CA90" s="53"/>
      <c r="CB90" s="93">
        <f>CA90+BZ90+BY90+BX90+BW90+BV90+BU90+BT90+BS90+BR90+BQ90+BP90</f>
        <v>13703.547509203177</v>
      </c>
      <c r="CC90" s="53">
        <f>'Расчёт налога на имущество'!Q56/1000*(-1)</f>
        <v>12289.545811569235</v>
      </c>
      <c r="CD90" s="53"/>
      <c r="CE90" s="53"/>
      <c r="CF90" s="53"/>
      <c r="CG90" s="53"/>
      <c r="CH90" s="53"/>
      <c r="CI90" s="53"/>
      <c r="CJ90" s="53"/>
      <c r="CK90" s="53"/>
      <c r="CL90" s="53"/>
      <c r="CM90" s="53"/>
      <c r="CN90" s="53"/>
      <c r="CO90" s="93">
        <f>CN90+CM90+CL90+CK90+CJ90+CI90+CH90+CG90+CF90+CE90+CD90+CC90</f>
        <v>12289.545811569235</v>
      </c>
      <c r="CP90" s="53">
        <f>'Расчёт налога на имущество'!Q70/1000*(-1)</f>
        <v>10889.57148016233</v>
      </c>
      <c r="CQ90" s="53"/>
      <c r="CR90" s="53"/>
      <c r="CS90" s="53"/>
      <c r="CT90" s="53"/>
      <c r="CU90" s="53"/>
      <c r="CV90" s="53"/>
      <c r="CW90" s="53"/>
      <c r="CX90" s="53"/>
      <c r="CY90" s="53"/>
      <c r="CZ90" s="53"/>
      <c r="DA90" s="53"/>
      <c r="DB90" s="93">
        <f>DA90+CZ90+CY90+CX90+CW90+CV90+CU90+CT90+CS90+CR90+CQ90+CP90</f>
        <v>10889.57148016233</v>
      </c>
      <c r="DC90" s="53">
        <f>'Расчёт налога на имущество'!Q84/1000*(-1)</f>
        <v>9536.648133029892</v>
      </c>
      <c r="DD90" s="53"/>
      <c r="DE90" s="53"/>
      <c r="DF90" s="53"/>
      <c r="DG90" s="53"/>
      <c r="DH90" s="53"/>
      <c r="DI90" s="53"/>
      <c r="DJ90" s="53"/>
      <c r="DK90" s="53"/>
      <c r="DL90" s="53"/>
      <c r="DM90" s="53"/>
      <c r="DN90" s="53"/>
      <c r="DO90" s="93">
        <f>DN90+DM90+DL90+DK90+DJ90+DI90+DH90+DG90+DF90+DE90+DD90+DC90</f>
        <v>9536.648133029892</v>
      </c>
      <c r="DP90" s="53">
        <f>'Расчёт налога на имущество'!Q98/1000*(-1)</f>
        <v>8602.379156001176</v>
      </c>
      <c r="DQ90" s="53"/>
      <c r="DR90" s="53"/>
      <c r="DS90" s="53"/>
      <c r="DT90" s="53"/>
      <c r="DU90" s="53"/>
      <c r="DV90" s="53"/>
      <c r="DW90" s="53"/>
      <c r="DX90" s="53"/>
      <c r="DY90" s="53"/>
      <c r="DZ90" s="53"/>
      <c r="EA90" s="53"/>
      <c r="EB90" s="93">
        <f>EA90+DZ90+DY90+DX90+DW90+DV90+DU90+DT90+DS90+DR90+DQ90+DP90</f>
        <v>8602.379156001176</v>
      </c>
      <c r="EC90" s="53">
        <f>'Расчёт налога на имущество'!Q112/1000*(-1)</f>
        <v>7489.091199888088</v>
      </c>
      <c r="ED90" s="53"/>
      <c r="EE90" s="53"/>
      <c r="EF90" s="53"/>
      <c r="EG90" s="53"/>
      <c r="EH90" s="53"/>
      <c r="EI90" s="53"/>
      <c r="EJ90" s="53"/>
      <c r="EK90" s="53"/>
      <c r="EL90" s="53"/>
      <c r="EM90" s="53"/>
      <c r="EN90" s="53"/>
      <c r="EO90" s="93">
        <f>EN90+EM90+EL90+EK90+EJ90+EI90+EH90+EG90+EF90+EE90+ED90+EC90</f>
        <v>7489.091199888088</v>
      </c>
      <c r="EP90" s="53">
        <f>'Расчёт налога на имущество'!Q123/1000*(-1)</f>
        <v>6093.1720035422195</v>
      </c>
      <c r="EQ90" s="53"/>
      <c r="ER90" s="53"/>
      <c r="ES90" s="53"/>
      <c r="ET90" s="53"/>
      <c r="EU90" s="53"/>
      <c r="EV90" s="53"/>
      <c r="EW90" s="53"/>
      <c r="EX90" s="53"/>
      <c r="EY90" s="53"/>
      <c r="EZ90" s="53"/>
      <c r="FA90" s="53"/>
      <c r="FB90" s="93">
        <f>FA90+EZ90+EY90+EX90+EW90+EV90+EU90+ET90+ES90+ER90+EQ90+EP90</f>
        <v>6093.1720035422195</v>
      </c>
      <c r="FC90" s="53">
        <f>'Расчёт налога на имущество'!Q134/1000*(-1)</f>
        <v>4737.527225043583</v>
      </c>
      <c r="FD90" s="53"/>
      <c r="FE90" s="53"/>
      <c r="FF90" s="53"/>
      <c r="FG90" s="53"/>
      <c r="FH90" s="53"/>
      <c r="FI90" s="53"/>
      <c r="FJ90" s="53"/>
      <c r="FK90" s="53"/>
      <c r="FL90" s="53"/>
      <c r="FM90" s="53"/>
      <c r="FN90" s="53"/>
      <c r="FO90" s="93">
        <f>FN90+FM90+FL90+FK90+FJ90+FI90+FH90+FG90+FF90+FE90+FD90+FC90</f>
        <v>4737.527225043583</v>
      </c>
      <c r="FP90" s="53">
        <f>'Расчёт налога на имущество'!Q145/1000*(-1)</f>
        <v>3430.7773431382966</v>
      </c>
      <c r="FQ90" s="53"/>
      <c r="FR90" s="53"/>
      <c r="FS90" s="53"/>
      <c r="FT90" s="53"/>
      <c r="FU90" s="53"/>
      <c r="FV90" s="53"/>
      <c r="FW90" s="53"/>
      <c r="FX90" s="53"/>
      <c r="FY90" s="53"/>
      <c r="FZ90" s="53"/>
      <c r="GA90" s="53"/>
      <c r="GB90" s="93">
        <f>GA90+FZ90+FY90+FX90+FW90+FV90+FU90+FT90+FS90+FR90+FQ90+FP90</f>
        <v>3430.7773431382966</v>
      </c>
      <c r="GC90" s="53">
        <f>'Расчёт налога на имущество'!Q155/1000*(-1)</f>
        <v>2761.786304490473</v>
      </c>
      <c r="GD90" s="53"/>
      <c r="GE90" s="53"/>
      <c r="GF90" s="53"/>
      <c r="GG90" s="53"/>
      <c r="GH90" s="53"/>
      <c r="GI90" s="53"/>
      <c r="GJ90" s="53"/>
      <c r="GK90" s="53"/>
      <c r="GL90" s="53"/>
      <c r="GM90" s="53"/>
      <c r="GN90" s="53"/>
      <c r="GO90" s="93">
        <f>GN90+GM90+GL90+GK90+GJ90+GI90+GH90+GG90+GF90+GE90+GD90+GC90</f>
        <v>2761.786304490473</v>
      </c>
      <c r="GP90" s="53">
        <f>'Расчёт налога на имущество'!Q164/1000*(-1)</f>
        <v>2406.6111629761867</v>
      </c>
      <c r="GQ90" s="53"/>
      <c r="GR90" s="53"/>
      <c r="GS90" s="53"/>
      <c r="GT90" s="53"/>
      <c r="GU90" s="53"/>
      <c r="GV90" s="53"/>
      <c r="GW90" s="53"/>
      <c r="GX90" s="53"/>
      <c r="GY90" s="53"/>
      <c r="GZ90" s="53"/>
      <c r="HA90" s="53"/>
      <c r="HB90" s="93">
        <f>HA90+GZ90+GY90+GX90+GW90+GV90+GU90+GT90+GS90+GR90+GQ90+GP90</f>
        <v>2406.6111629761867</v>
      </c>
      <c r="HC90" s="49">
        <f t="shared" si="115"/>
        <v>87600.52788656842</v>
      </c>
      <c r="HD90" s="53"/>
      <c r="HE90" s="53"/>
      <c r="HF90" s="53"/>
      <c r="HG90" s="53"/>
      <c r="HH90" s="53"/>
      <c r="HI90" s="53"/>
      <c r="HJ90" s="53"/>
      <c r="HK90" s="53"/>
      <c r="HL90" s="53"/>
      <c r="HM90" s="53"/>
      <c r="HN90" s="53"/>
      <c r="HO90" s="93"/>
      <c r="HP90" s="53"/>
      <c r="HQ90" s="53"/>
      <c r="HR90" s="53"/>
      <c r="HS90" s="53"/>
      <c r="HT90" s="53"/>
      <c r="HU90" s="53"/>
      <c r="HV90" s="53"/>
      <c r="HW90" s="53"/>
      <c r="HX90" s="53"/>
      <c r="HY90" s="53"/>
      <c r="HZ90" s="53"/>
      <c r="IA90" s="53"/>
      <c r="IB90" s="93"/>
      <c r="IC90" s="53"/>
      <c r="ID90" s="53"/>
      <c r="IE90" s="53"/>
      <c r="IF90" s="53"/>
      <c r="IG90" s="53"/>
      <c r="IH90" s="53"/>
      <c r="II90" s="53"/>
      <c r="IJ90" s="53"/>
      <c r="IK90" s="53"/>
      <c r="IL90" s="53"/>
      <c r="IM90" s="53"/>
      <c r="IN90" s="53"/>
      <c r="IO90" s="93"/>
      <c r="IP90" s="53"/>
      <c r="IQ90" s="53"/>
      <c r="IR90" s="53"/>
      <c r="IS90" s="53"/>
      <c r="IT90" s="53"/>
      <c r="IU90" s="53"/>
      <c r="IV90" s="53"/>
    </row>
    <row r="91" spans="1:256" s="51" customFormat="1" ht="14.25" outlineLevel="1">
      <c r="A91" s="48"/>
      <c r="B91" s="101" t="s">
        <v>379</v>
      </c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93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93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93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93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93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93"/>
      <c r="CC91" s="49"/>
      <c r="CD91" s="49"/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93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93"/>
      <c r="DC91" s="49"/>
      <c r="DD91" s="49"/>
      <c r="DE91" s="49"/>
      <c r="DF91" s="49"/>
      <c r="DG91" s="49"/>
      <c r="DH91" s="49"/>
      <c r="DI91" s="49"/>
      <c r="DJ91" s="49"/>
      <c r="DK91" s="49"/>
      <c r="DL91" s="49"/>
      <c r="DM91" s="49"/>
      <c r="DN91" s="49"/>
      <c r="DO91" s="93"/>
      <c r="DP91" s="49"/>
      <c r="DQ91" s="49"/>
      <c r="DR91" s="49"/>
      <c r="DS91" s="49"/>
      <c r="DT91" s="49"/>
      <c r="DU91" s="49"/>
      <c r="DV91" s="49"/>
      <c r="DW91" s="49"/>
      <c r="DX91" s="49"/>
      <c r="DY91" s="49"/>
      <c r="DZ91" s="49"/>
      <c r="EA91" s="49"/>
      <c r="EB91" s="93"/>
      <c r="EC91" s="49"/>
      <c r="ED91" s="49"/>
      <c r="EE91" s="49"/>
      <c r="EF91" s="49"/>
      <c r="EG91" s="49"/>
      <c r="EH91" s="49"/>
      <c r="EI91" s="49"/>
      <c r="EJ91" s="49"/>
      <c r="EK91" s="49"/>
      <c r="EL91" s="49"/>
      <c r="EM91" s="49"/>
      <c r="EN91" s="49"/>
      <c r="EO91" s="93"/>
      <c r="EP91" s="49"/>
      <c r="EQ91" s="49"/>
      <c r="ER91" s="49"/>
      <c r="ES91" s="49"/>
      <c r="ET91" s="49"/>
      <c r="EU91" s="49"/>
      <c r="EV91" s="49"/>
      <c r="EW91" s="49"/>
      <c r="EX91" s="49"/>
      <c r="EY91" s="49"/>
      <c r="EZ91" s="49"/>
      <c r="FA91" s="49"/>
      <c r="FB91" s="93"/>
      <c r="FC91" s="49"/>
      <c r="FD91" s="49"/>
      <c r="FE91" s="49"/>
      <c r="FF91" s="49"/>
      <c r="FG91" s="49"/>
      <c r="FH91" s="49"/>
      <c r="FI91" s="49"/>
      <c r="FJ91" s="49"/>
      <c r="FK91" s="49"/>
      <c r="FL91" s="49"/>
      <c r="FM91" s="49"/>
      <c r="FN91" s="49"/>
      <c r="FO91" s="93"/>
      <c r="FP91" s="49"/>
      <c r="FQ91" s="49">
        <f>FQ92+FQ93+FQ94+FQ95+FQ96+FQ97+FQ98</f>
        <v>399875</v>
      </c>
      <c r="FR91" s="49"/>
      <c r="FS91" s="49"/>
      <c r="FT91" s="49"/>
      <c r="FU91" s="49"/>
      <c r="FV91" s="49"/>
      <c r="FW91" s="49"/>
      <c r="FX91" s="49"/>
      <c r="FY91" s="49"/>
      <c r="FZ91" s="49"/>
      <c r="GA91" s="49"/>
      <c r="GB91" s="93">
        <f>GA91+FZ91+FY91+FX91+FW91+FV91+FU91+FT91+FS91+FR91+FQ91+FP91</f>
        <v>399875</v>
      </c>
      <c r="GC91" s="49"/>
      <c r="GD91" s="49"/>
      <c r="GE91" s="49"/>
      <c r="GF91" s="49"/>
      <c r="GG91" s="49"/>
      <c r="GH91" s="49"/>
      <c r="GI91" s="49"/>
      <c r="GJ91" s="49"/>
      <c r="GK91" s="49"/>
      <c r="GL91" s="49"/>
      <c r="GM91" s="49"/>
      <c r="GN91" s="49"/>
      <c r="GO91" s="93"/>
      <c r="GP91" s="49"/>
      <c r="GQ91" s="49"/>
      <c r="GR91" s="49"/>
      <c r="GS91" s="49"/>
      <c r="GT91" s="49"/>
      <c r="GU91" s="49"/>
      <c r="GV91" s="49"/>
      <c r="GW91" s="49"/>
      <c r="GX91" s="49"/>
      <c r="GY91" s="49"/>
      <c r="GZ91" s="49"/>
      <c r="HA91" s="49"/>
      <c r="HB91" s="93"/>
      <c r="HC91" s="49">
        <f t="shared" si="115"/>
        <v>399875</v>
      </c>
      <c r="HD91" s="49"/>
      <c r="HE91" s="49"/>
      <c r="HF91" s="49"/>
      <c r="HG91" s="49"/>
      <c r="HH91" s="49"/>
      <c r="HI91" s="49"/>
      <c r="HJ91" s="49"/>
      <c r="HK91" s="49"/>
      <c r="HL91" s="49"/>
      <c r="HM91" s="49"/>
      <c r="HN91" s="49"/>
      <c r="HO91" s="93"/>
      <c r="HP91" s="49"/>
      <c r="HQ91" s="49"/>
      <c r="HR91" s="49"/>
      <c r="HS91" s="49"/>
      <c r="HT91" s="49"/>
      <c r="HU91" s="49"/>
      <c r="HV91" s="49"/>
      <c r="HW91" s="49"/>
      <c r="HX91" s="49"/>
      <c r="HY91" s="49"/>
      <c r="HZ91" s="49"/>
      <c r="IA91" s="49"/>
      <c r="IB91" s="93"/>
      <c r="IC91" s="49"/>
      <c r="ID91" s="49"/>
      <c r="IE91" s="49"/>
      <c r="IF91" s="49"/>
      <c r="IG91" s="49"/>
      <c r="IH91" s="49"/>
      <c r="II91" s="49"/>
      <c r="IJ91" s="49"/>
      <c r="IK91" s="49"/>
      <c r="IL91" s="49"/>
      <c r="IM91" s="49"/>
      <c r="IN91" s="49"/>
      <c r="IO91" s="93"/>
      <c r="IP91" s="49"/>
      <c r="IQ91" s="49"/>
      <c r="IR91" s="49"/>
      <c r="IS91" s="49"/>
      <c r="IT91" s="49"/>
      <c r="IU91" s="49"/>
      <c r="IV91" s="49"/>
    </row>
    <row r="92" spans="1:256" s="104" customFormat="1" ht="14.25" outlineLevel="2">
      <c r="A92" s="30"/>
      <c r="B92" s="103" t="s">
        <v>507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95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95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95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95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95"/>
      <c r="BP92" s="53"/>
      <c r="BQ92" s="53"/>
      <c r="BR92" s="53"/>
      <c r="BS92" s="53"/>
      <c r="BT92" s="53"/>
      <c r="BU92" s="53"/>
      <c r="BV92" s="53"/>
      <c r="BW92" s="53"/>
      <c r="BX92" s="53"/>
      <c r="BY92" s="53"/>
      <c r="BZ92" s="53"/>
      <c r="CA92" s="53"/>
      <c r="CB92" s="95"/>
      <c r="CC92" s="53"/>
      <c r="CD92" s="53"/>
      <c r="CE92" s="53"/>
      <c r="CF92" s="53"/>
      <c r="CG92" s="53"/>
      <c r="CH92" s="53"/>
      <c r="CI92" s="53"/>
      <c r="CJ92" s="53"/>
      <c r="CK92" s="53"/>
      <c r="CL92" s="53"/>
      <c r="CM92" s="53"/>
      <c r="CN92" s="53"/>
      <c r="CO92" s="95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95"/>
      <c r="DC92" s="53"/>
      <c r="DD92" s="53"/>
      <c r="DE92" s="53"/>
      <c r="DF92" s="53"/>
      <c r="DG92" s="53"/>
      <c r="DH92" s="53"/>
      <c r="DI92" s="53"/>
      <c r="DJ92" s="53"/>
      <c r="DK92" s="53"/>
      <c r="DL92" s="53"/>
      <c r="DM92" s="53"/>
      <c r="DN92" s="53"/>
      <c r="DO92" s="95"/>
      <c r="DP92" s="53"/>
      <c r="DQ92" s="53"/>
      <c r="DR92" s="53"/>
      <c r="DS92" s="53"/>
      <c r="DT92" s="53"/>
      <c r="DU92" s="53"/>
      <c r="DV92" s="53"/>
      <c r="DW92" s="53"/>
      <c r="DX92" s="53"/>
      <c r="DY92" s="53"/>
      <c r="DZ92" s="53"/>
      <c r="EA92" s="53"/>
      <c r="EB92" s="95"/>
      <c r="EC92" s="53"/>
      <c r="ED92" s="53"/>
      <c r="EE92" s="53"/>
      <c r="EF92" s="53"/>
      <c r="EG92" s="53"/>
      <c r="EH92" s="53"/>
      <c r="EI92" s="53"/>
      <c r="EJ92" s="53"/>
      <c r="EK92" s="53"/>
      <c r="EL92" s="53"/>
      <c r="EM92" s="53"/>
      <c r="EN92" s="53"/>
      <c r="EO92" s="93"/>
      <c r="EP92" s="53"/>
      <c r="EQ92" s="53"/>
      <c r="ER92" s="53"/>
      <c r="ES92" s="53"/>
      <c r="ET92" s="53"/>
      <c r="EU92" s="53"/>
      <c r="EV92" s="53"/>
      <c r="EW92" s="53"/>
      <c r="EX92" s="53"/>
      <c r="EY92" s="53"/>
      <c r="EZ92" s="53"/>
      <c r="FA92" s="53"/>
      <c r="FB92" s="95"/>
      <c r="FC92" s="53"/>
      <c r="FD92" s="53"/>
      <c r="FE92" s="53"/>
      <c r="FF92" s="53"/>
      <c r="FG92" s="53"/>
      <c r="FH92" s="53"/>
      <c r="FI92" s="53"/>
      <c r="FJ92" s="53"/>
      <c r="FK92" s="53"/>
      <c r="FL92" s="53"/>
      <c r="FM92" s="53"/>
      <c r="FN92" s="53"/>
      <c r="FO92" s="93"/>
      <c r="FP92" s="53"/>
      <c r="FQ92" s="53">
        <f>K87</f>
        <v>399875</v>
      </c>
      <c r="FR92" s="53"/>
      <c r="FS92" s="53"/>
      <c r="FT92" s="53"/>
      <c r="FU92" s="53"/>
      <c r="FV92" s="53"/>
      <c r="FW92" s="53"/>
      <c r="FX92" s="53"/>
      <c r="FY92" s="53"/>
      <c r="FZ92" s="53"/>
      <c r="GA92" s="53"/>
      <c r="GB92" s="93">
        <f>GA92+FZ92+FY92+FX92+FW92+FV92+FU92+FT92+FS92+FR92+FQ92+FP92</f>
        <v>399875</v>
      </c>
      <c r="GC92" s="113"/>
      <c r="GD92" s="53"/>
      <c r="GE92" s="53"/>
      <c r="GF92" s="53"/>
      <c r="GG92" s="53"/>
      <c r="GH92" s="53"/>
      <c r="GI92" s="53"/>
      <c r="GJ92" s="53"/>
      <c r="GK92" s="53"/>
      <c r="GL92" s="53"/>
      <c r="GM92" s="53"/>
      <c r="GN92" s="53"/>
      <c r="GO92" s="95"/>
      <c r="GP92" s="53"/>
      <c r="GQ92" s="53"/>
      <c r="GR92" s="53"/>
      <c r="GS92" s="53"/>
      <c r="GT92" s="53"/>
      <c r="GU92" s="53"/>
      <c r="GV92" s="53"/>
      <c r="GW92" s="53"/>
      <c r="GX92" s="53"/>
      <c r="GY92" s="53"/>
      <c r="GZ92" s="53"/>
      <c r="HA92" s="53"/>
      <c r="HB92" s="93"/>
      <c r="HC92" s="49">
        <f t="shared" si="115"/>
        <v>399875</v>
      </c>
      <c r="HD92" s="53"/>
      <c r="HE92" s="53"/>
      <c r="HF92" s="53"/>
      <c r="HG92" s="53"/>
      <c r="HH92" s="53"/>
      <c r="HI92" s="53"/>
      <c r="HJ92" s="53"/>
      <c r="HK92" s="53"/>
      <c r="HL92" s="53"/>
      <c r="HM92" s="53"/>
      <c r="HN92" s="53"/>
      <c r="HO92" s="95"/>
      <c r="HP92" s="53"/>
      <c r="HQ92" s="53"/>
      <c r="HR92" s="53"/>
      <c r="HS92" s="53"/>
      <c r="HT92" s="53"/>
      <c r="HU92" s="53"/>
      <c r="HV92" s="53"/>
      <c r="HW92" s="53"/>
      <c r="HX92" s="53"/>
      <c r="HY92" s="53"/>
      <c r="HZ92" s="53"/>
      <c r="IA92" s="53"/>
      <c r="IB92" s="95"/>
      <c r="IC92" s="53"/>
      <c r="ID92" s="53"/>
      <c r="IE92" s="53"/>
      <c r="IF92" s="53"/>
      <c r="IG92" s="53"/>
      <c r="IH92" s="53"/>
      <c r="II92" s="53"/>
      <c r="IJ92" s="53"/>
      <c r="IK92" s="53"/>
      <c r="IL92" s="53"/>
      <c r="IM92" s="53"/>
      <c r="IN92" s="53"/>
      <c r="IO92" s="95"/>
      <c r="IP92" s="53"/>
      <c r="IQ92" s="53"/>
      <c r="IR92" s="53"/>
      <c r="IS92" s="53"/>
      <c r="IT92" s="53"/>
      <c r="IU92" s="53"/>
      <c r="IV92" s="53"/>
    </row>
    <row r="93" spans="1:256" s="104" customFormat="1" ht="14.25" outlineLevel="2">
      <c r="A93" s="30"/>
      <c r="B93" s="10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9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95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95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95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95"/>
      <c r="BP93" s="53"/>
      <c r="BQ93" s="53"/>
      <c r="BR93" s="53"/>
      <c r="BS93" s="53"/>
      <c r="BT93" s="53"/>
      <c r="BU93" s="53"/>
      <c r="BV93" s="53"/>
      <c r="BW93" s="53"/>
      <c r="BX93" s="53"/>
      <c r="BY93" s="53"/>
      <c r="BZ93" s="53"/>
      <c r="CA93" s="53"/>
      <c r="CB93" s="95"/>
      <c r="CC93" s="53"/>
      <c r="CD93" s="53"/>
      <c r="CE93" s="53"/>
      <c r="CF93" s="53"/>
      <c r="CG93" s="53"/>
      <c r="CH93" s="53"/>
      <c r="CI93" s="53"/>
      <c r="CJ93" s="53"/>
      <c r="CK93" s="53"/>
      <c r="CL93" s="53"/>
      <c r="CM93" s="53"/>
      <c r="CN93" s="53"/>
      <c r="CO93" s="95"/>
      <c r="CP93" s="53"/>
      <c r="CQ93" s="53"/>
      <c r="CR93" s="53"/>
      <c r="CS93" s="53"/>
      <c r="CT93" s="53"/>
      <c r="CU93" s="53"/>
      <c r="CV93" s="53"/>
      <c r="CW93" s="53"/>
      <c r="CX93" s="53"/>
      <c r="CY93" s="53"/>
      <c r="CZ93" s="53"/>
      <c r="DA93" s="53"/>
      <c r="DB93" s="95"/>
      <c r="DC93" s="53"/>
      <c r="DD93" s="53"/>
      <c r="DE93" s="53"/>
      <c r="DF93" s="53"/>
      <c r="DG93" s="53"/>
      <c r="DH93" s="53"/>
      <c r="DI93" s="53"/>
      <c r="DJ93" s="53"/>
      <c r="DK93" s="53"/>
      <c r="DL93" s="53"/>
      <c r="DM93" s="53"/>
      <c r="DN93" s="53"/>
      <c r="DO93" s="95"/>
      <c r="DP93" s="53"/>
      <c r="DQ93" s="53"/>
      <c r="DR93" s="53"/>
      <c r="DS93" s="53"/>
      <c r="DT93" s="53"/>
      <c r="DU93" s="53"/>
      <c r="DV93" s="53"/>
      <c r="DW93" s="53"/>
      <c r="DX93" s="53"/>
      <c r="DY93" s="53"/>
      <c r="DZ93" s="53"/>
      <c r="EA93" s="53"/>
      <c r="EB93" s="95"/>
      <c r="EC93" s="53"/>
      <c r="ED93" s="53"/>
      <c r="EE93" s="53"/>
      <c r="EF93" s="53"/>
      <c r="EG93" s="53"/>
      <c r="EH93" s="53"/>
      <c r="EI93" s="53"/>
      <c r="EJ93" s="53"/>
      <c r="EK93" s="53"/>
      <c r="EL93" s="53"/>
      <c r="EM93" s="53"/>
      <c r="EN93" s="53"/>
      <c r="EO93" s="95"/>
      <c r="EP93" s="53"/>
      <c r="EQ93" s="53"/>
      <c r="ER93" s="53"/>
      <c r="ES93" s="53"/>
      <c r="ET93" s="53"/>
      <c r="EU93" s="53"/>
      <c r="EV93" s="53"/>
      <c r="EW93" s="53"/>
      <c r="EX93" s="53"/>
      <c r="EY93" s="53"/>
      <c r="EZ93" s="53"/>
      <c r="FA93" s="53"/>
      <c r="FB93" s="95"/>
      <c r="FC93" s="53"/>
      <c r="FD93" s="53"/>
      <c r="FE93" s="53"/>
      <c r="FF93" s="53"/>
      <c r="FG93" s="53"/>
      <c r="FH93" s="53"/>
      <c r="FI93" s="53"/>
      <c r="FJ93" s="53"/>
      <c r="FK93" s="53"/>
      <c r="FL93" s="53"/>
      <c r="FM93" s="53"/>
      <c r="FN93" s="53"/>
      <c r="FO93" s="95"/>
      <c r="FP93" s="53"/>
      <c r="FQ93" s="53"/>
      <c r="FR93" s="53"/>
      <c r="FS93" s="53"/>
      <c r="FT93" s="53"/>
      <c r="FU93" s="53"/>
      <c r="FV93" s="53"/>
      <c r="FW93" s="53"/>
      <c r="FX93" s="53"/>
      <c r="FY93" s="53"/>
      <c r="FZ93" s="53"/>
      <c r="GA93" s="53"/>
      <c r="GB93" s="93"/>
      <c r="GC93" s="113"/>
      <c r="GD93" s="53"/>
      <c r="GE93" s="53"/>
      <c r="GF93" s="53"/>
      <c r="GG93" s="53"/>
      <c r="GH93" s="53"/>
      <c r="GI93" s="53"/>
      <c r="GJ93" s="53"/>
      <c r="GK93" s="53"/>
      <c r="GL93" s="53"/>
      <c r="GM93" s="53"/>
      <c r="GN93" s="53"/>
      <c r="GO93" s="95"/>
      <c r="GP93" s="53"/>
      <c r="GQ93" s="53"/>
      <c r="GR93" s="53"/>
      <c r="GS93" s="53"/>
      <c r="GT93" s="53"/>
      <c r="GU93" s="53"/>
      <c r="GV93" s="53"/>
      <c r="GW93" s="53"/>
      <c r="GX93" s="53"/>
      <c r="GY93" s="53"/>
      <c r="GZ93" s="53"/>
      <c r="HA93" s="53"/>
      <c r="HB93" s="95"/>
      <c r="HC93" s="49"/>
      <c r="HD93" s="53"/>
      <c r="HE93" s="53"/>
      <c r="HF93" s="53"/>
      <c r="HG93" s="53"/>
      <c r="HH93" s="53"/>
      <c r="HI93" s="53"/>
      <c r="HJ93" s="53"/>
      <c r="HK93" s="53"/>
      <c r="HL93" s="53"/>
      <c r="HM93" s="53"/>
      <c r="HN93" s="53"/>
      <c r="HO93" s="95"/>
      <c r="HP93" s="53"/>
      <c r="HQ93" s="53"/>
      <c r="HR93" s="53"/>
      <c r="HS93" s="53"/>
      <c r="HT93" s="53"/>
      <c r="HU93" s="53"/>
      <c r="HV93" s="53"/>
      <c r="HW93" s="53"/>
      <c r="HX93" s="53"/>
      <c r="HY93" s="53"/>
      <c r="HZ93" s="53"/>
      <c r="IA93" s="53"/>
      <c r="IB93" s="95"/>
      <c r="IC93" s="53"/>
      <c r="ID93" s="53"/>
      <c r="IE93" s="53"/>
      <c r="IF93" s="53"/>
      <c r="IG93" s="53"/>
      <c r="IH93" s="53"/>
      <c r="II93" s="53"/>
      <c r="IJ93" s="53"/>
      <c r="IK93" s="53"/>
      <c r="IL93" s="53"/>
      <c r="IM93" s="53"/>
      <c r="IN93" s="53"/>
      <c r="IO93" s="95"/>
      <c r="IP93" s="53"/>
      <c r="IQ93" s="53"/>
      <c r="IR93" s="53"/>
      <c r="IS93" s="53"/>
      <c r="IT93" s="53"/>
      <c r="IU93" s="53"/>
      <c r="IV93" s="53"/>
    </row>
    <row r="94" spans="1:256" s="104" customFormat="1" ht="14.25" outlineLevel="2">
      <c r="A94" s="30"/>
      <c r="B94" s="10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9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9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9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9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95"/>
      <c r="BP94" s="53"/>
      <c r="BQ94" s="53"/>
      <c r="BR94" s="53"/>
      <c r="BS94" s="53"/>
      <c r="BT94" s="53"/>
      <c r="BU94" s="53"/>
      <c r="BV94" s="53"/>
      <c r="BW94" s="53"/>
      <c r="BX94" s="53"/>
      <c r="BY94" s="53"/>
      <c r="BZ94" s="53"/>
      <c r="CA94" s="53"/>
      <c r="CB94" s="95"/>
      <c r="CC94" s="53"/>
      <c r="CD94" s="53"/>
      <c r="CE94" s="53"/>
      <c r="CF94" s="53"/>
      <c r="CG94" s="53"/>
      <c r="CH94" s="53"/>
      <c r="CI94" s="53"/>
      <c r="CJ94" s="53"/>
      <c r="CK94" s="53"/>
      <c r="CL94" s="53"/>
      <c r="CM94" s="53"/>
      <c r="CN94" s="53"/>
      <c r="CO94" s="95"/>
      <c r="CP94" s="53"/>
      <c r="CQ94" s="53"/>
      <c r="CR94" s="53"/>
      <c r="CS94" s="53"/>
      <c r="CT94" s="53"/>
      <c r="CU94" s="53"/>
      <c r="CV94" s="53"/>
      <c r="CW94" s="53"/>
      <c r="CX94" s="53"/>
      <c r="CY94" s="53"/>
      <c r="CZ94" s="53"/>
      <c r="DA94" s="53"/>
      <c r="DB94" s="95"/>
      <c r="DC94" s="53"/>
      <c r="DD94" s="53"/>
      <c r="DE94" s="53"/>
      <c r="DF94" s="53"/>
      <c r="DG94" s="53"/>
      <c r="DH94" s="53"/>
      <c r="DI94" s="53"/>
      <c r="DJ94" s="53"/>
      <c r="DK94" s="53"/>
      <c r="DL94" s="53"/>
      <c r="DM94" s="53"/>
      <c r="DN94" s="53"/>
      <c r="DO94" s="95"/>
      <c r="DP94" s="53"/>
      <c r="DQ94" s="53"/>
      <c r="DR94" s="53"/>
      <c r="DS94" s="53"/>
      <c r="DT94" s="53"/>
      <c r="DU94" s="53"/>
      <c r="DV94" s="53"/>
      <c r="DW94" s="53"/>
      <c r="DX94" s="53"/>
      <c r="DY94" s="53"/>
      <c r="DZ94" s="53"/>
      <c r="EA94" s="53"/>
      <c r="EB94" s="95"/>
      <c r="EC94" s="53"/>
      <c r="ED94" s="53"/>
      <c r="EE94" s="53"/>
      <c r="EF94" s="53"/>
      <c r="EG94" s="53"/>
      <c r="EH94" s="53"/>
      <c r="EI94" s="53"/>
      <c r="EJ94" s="53"/>
      <c r="EK94" s="53"/>
      <c r="EL94" s="53"/>
      <c r="EM94" s="53"/>
      <c r="EN94" s="53"/>
      <c r="EO94" s="95"/>
      <c r="EP94" s="53"/>
      <c r="EQ94" s="53"/>
      <c r="ER94" s="53"/>
      <c r="ES94" s="53"/>
      <c r="ET94" s="53"/>
      <c r="EU94" s="53"/>
      <c r="EV94" s="53"/>
      <c r="EW94" s="53"/>
      <c r="EX94" s="53"/>
      <c r="EY94" s="53"/>
      <c r="EZ94" s="53"/>
      <c r="FA94" s="53"/>
      <c r="FB94" s="95"/>
      <c r="FC94" s="53"/>
      <c r="FD94" s="53"/>
      <c r="FE94" s="53"/>
      <c r="FF94" s="53"/>
      <c r="FG94" s="53"/>
      <c r="FH94" s="53"/>
      <c r="FI94" s="53"/>
      <c r="FJ94" s="53"/>
      <c r="FK94" s="53"/>
      <c r="FL94" s="53"/>
      <c r="FM94" s="53"/>
      <c r="FN94" s="53"/>
      <c r="FO94" s="95"/>
      <c r="FP94" s="53"/>
      <c r="FQ94" s="53"/>
      <c r="FR94" s="53"/>
      <c r="FS94" s="53"/>
      <c r="FT94" s="53"/>
      <c r="FU94" s="53"/>
      <c r="FV94" s="53"/>
      <c r="FW94" s="53"/>
      <c r="FX94" s="53"/>
      <c r="FY94" s="53"/>
      <c r="FZ94" s="53"/>
      <c r="GA94" s="53"/>
      <c r="GB94" s="93"/>
      <c r="GC94" s="113"/>
      <c r="GD94" s="53"/>
      <c r="GE94" s="53"/>
      <c r="GF94" s="53"/>
      <c r="GG94" s="53"/>
      <c r="GH94" s="53"/>
      <c r="GI94" s="53"/>
      <c r="GJ94" s="53"/>
      <c r="GK94" s="53"/>
      <c r="GL94" s="53"/>
      <c r="GM94" s="53"/>
      <c r="GN94" s="53"/>
      <c r="GO94" s="95"/>
      <c r="GP94" s="53"/>
      <c r="GQ94" s="53"/>
      <c r="GR94" s="53"/>
      <c r="GS94" s="53"/>
      <c r="GT94" s="53"/>
      <c r="GU94" s="53"/>
      <c r="GV94" s="53"/>
      <c r="GW94" s="53"/>
      <c r="GX94" s="53"/>
      <c r="GY94" s="53"/>
      <c r="GZ94" s="53"/>
      <c r="HA94" s="53"/>
      <c r="HB94" s="95"/>
      <c r="HC94" s="49"/>
      <c r="HD94" s="53"/>
      <c r="HE94" s="53"/>
      <c r="HF94" s="53"/>
      <c r="HG94" s="53"/>
      <c r="HH94" s="53"/>
      <c r="HI94" s="53"/>
      <c r="HJ94" s="53"/>
      <c r="HK94" s="53"/>
      <c r="HL94" s="53"/>
      <c r="HM94" s="53"/>
      <c r="HN94" s="53"/>
      <c r="HO94" s="95"/>
      <c r="HP94" s="53"/>
      <c r="HQ94" s="53"/>
      <c r="HR94" s="53"/>
      <c r="HS94" s="53"/>
      <c r="HT94" s="53"/>
      <c r="HU94" s="53"/>
      <c r="HV94" s="53"/>
      <c r="HW94" s="53"/>
      <c r="HX94" s="53"/>
      <c r="HY94" s="53"/>
      <c r="HZ94" s="53"/>
      <c r="IA94" s="53"/>
      <c r="IB94" s="95"/>
      <c r="IC94" s="53"/>
      <c r="ID94" s="53"/>
      <c r="IE94" s="53"/>
      <c r="IF94" s="53"/>
      <c r="IG94" s="53"/>
      <c r="IH94" s="53"/>
      <c r="II94" s="53"/>
      <c r="IJ94" s="53"/>
      <c r="IK94" s="53"/>
      <c r="IL94" s="53"/>
      <c r="IM94" s="53"/>
      <c r="IN94" s="53"/>
      <c r="IO94" s="95"/>
      <c r="IP94" s="53"/>
      <c r="IQ94" s="53"/>
      <c r="IR94" s="53"/>
      <c r="IS94" s="53"/>
      <c r="IT94" s="53"/>
      <c r="IU94" s="53"/>
      <c r="IV94" s="53"/>
    </row>
    <row r="95" spans="1:256" s="104" customFormat="1" ht="14.25" outlineLevel="2">
      <c r="A95" s="30"/>
      <c r="B95" s="10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9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9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9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9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95"/>
      <c r="BP95" s="53"/>
      <c r="BQ95" s="53"/>
      <c r="BR95" s="53"/>
      <c r="BS95" s="53"/>
      <c r="BT95" s="53"/>
      <c r="BU95" s="53"/>
      <c r="BV95" s="53"/>
      <c r="BW95" s="53"/>
      <c r="BX95" s="53"/>
      <c r="BY95" s="53"/>
      <c r="BZ95" s="53"/>
      <c r="CA95" s="53"/>
      <c r="CB95" s="95"/>
      <c r="CC95" s="53"/>
      <c r="CD95" s="53"/>
      <c r="CE95" s="53"/>
      <c r="CF95" s="53"/>
      <c r="CG95" s="53"/>
      <c r="CH95" s="53"/>
      <c r="CI95" s="53"/>
      <c r="CJ95" s="53"/>
      <c r="CK95" s="53"/>
      <c r="CL95" s="53"/>
      <c r="CM95" s="53"/>
      <c r="CN95" s="53"/>
      <c r="CO95" s="95"/>
      <c r="CP95" s="53"/>
      <c r="CQ95" s="53"/>
      <c r="CR95" s="53"/>
      <c r="CS95" s="53"/>
      <c r="CT95" s="53"/>
      <c r="CU95" s="53"/>
      <c r="CV95" s="53"/>
      <c r="CW95" s="53"/>
      <c r="CX95" s="53"/>
      <c r="CY95" s="53"/>
      <c r="CZ95" s="53"/>
      <c r="DA95" s="53"/>
      <c r="DB95" s="95"/>
      <c r="DC95" s="53"/>
      <c r="DD95" s="53"/>
      <c r="DE95" s="53"/>
      <c r="DF95" s="53"/>
      <c r="DG95" s="53"/>
      <c r="DH95" s="53"/>
      <c r="DI95" s="53"/>
      <c r="DJ95" s="53"/>
      <c r="DK95" s="53"/>
      <c r="DL95" s="53"/>
      <c r="DM95" s="53"/>
      <c r="DN95" s="53"/>
      <c r="DO95" s="93"/>
      <c r="DP95" s="53"/>
      <c r="DQ95" s="53"/>
      <c r="DR95" s="53"/>
      <c r="DS95" s="53"/>
      <c r="DT95" s="53"/>
      <c r="DU95" s="53"/>
      <c r="DV95" s="53"/>
      <c r="DW95" s="53"/>
      <c r="DX95" s="53"/>
      <c r="DY95" s="53"/>
      <c r="DZ95" s="53"/>
      <c r="EA95" s="53"/>
      <c r="EB95" s="95"/>
      <c r="EC95" s="53"/>
      <c r="ED95" s="53"/>
      <c r="EE95" s="53"/>
      <c r="EF95" s="53"/>
      <c r="EG95" s="53"/>
      <c r="EH95" s="53"/>
      <c r="EI95" s="53"/>
      <c r="EJ95" s="53"/>
      <c r="EK95" s="53"/>
      <c r="EL95" s="53"/>
      <c r="EM95" s="53"/>
      <c r="EN95" s="53"/>
      <c r="EO95" s="95"/>
      <c r="EP95" s="53"/>
      <c r="EQ95" s="53"/>
      <c r="ER95" s="53"/>
      <c r="ES95" s="53"/>
      <c r="ET95" s="53"/>
      <c r="EU95" s="53"/>
      <c r="EV95" s="53"/>
      <c r="EW95" s="53"/>
      <c r="EX95" s="53"/>
      <c r="EY95" s="53"/>
      <c r="EZ95" s="53"/>
      <c r="FA95" s="53"/>
      <c r="FB95" s="95"/>
      <c r="FC95" s="53"/>
      <c r="FD95" s="53"/>
      <c r="FE95" s="53"/>
      <c r="FF95" s="53"/>
      <c r="FG95" s="53"/>
      <c r="FH95" s="53"/>
      <c r="FI95" s="53"/>
      <c r="FJ95" s="53"/>
      <c r="FK95" s="53"/>
      <c r="FL95" s="53"/>
      <c r="FM95" s="53"/>
      <c r="FN95" s="53"/>
      <c r="FO95" s="95"/>
      <c r="FP95" s="53"/>
      <c r="FQ95" s="53"/>
      <c r="FR95" s="53"/>
      <c r="FS95" s="53"/>
      <c r="FT95" s="53"/>
      <c r="FU95" s="53"/>
      <c r="FV95" s="53"/>
      <c r="FW95" s="53"/>
      <c r="FX95" s="53"/>
      <c r="FY95" s="53"/>
      <c r="FZ95" s="53"/>
      <c r="GA95" s="53"/>
      <c r="GB95" s="93"/>
      <c r="GC95" s="113"/>
      <c r="GD95" s="53"/>
      <c r="GE95" s="53"/>
      <c r="GF95" s="53"/>
      <c r="GG95" s="53"/>
      <c r="GH95" s="53"/>
      <c r="GI95" s="53"/>
      <c r="GJ95" s="53"/>
      <c r="GK95" s="53"/>
      <c r="GL95" s="53"/>
      <c r="GM95" s="53"/>
      <c r="GN95" s="53"/>
      <c r="GO95" s="95"/>
      <c r="GP95" s="53"/>
      <c r="GQ95" s="53"/>
      <c r="GR95" s="53"/>
      <c r="GS95" s="53"/>
      <c r="GT95" s="53"/>
      <c r="GU95" s="53"/>
      <c r="GV95" s="53"/>
      <c r="GW95" s="53"/>
      <c r="GX95" s="53"/>
      <c r="GY95" s="53"/>
      <c r="GZ95" s="53"/>
      <c r="HA95" s="53"/>
      <c r="HB95" s="95"/>
      <c r="HC95" s="49"/>
      <c r="HD95" s="53"/>
      <c r="HE95" s="53"/>
      <c r="HF95" s="53"/>
      <c r="HG95" s="53"/>
      <c r="HH95" s="53"/>
      <c r="HI95" s="53"/>
      <c r="HJ95" s="53"/>
      <c r="HK95" s="53"/>
      <c r="HL95" s="53"/>
      <c r="HM95" s="53"/>
      <c r="HN95" s="53"/>
      <c r="HO95" s="95"/>
      <c r="HP95" s="53"/>
      <c r="HQ95" s="53"/>
      <c r="HR95" s="53"/>
      <c r="HS95" s="53"/>
      <c r="HT95" s="53"/>
      <c r="HU95" s="53"/>
      <c r="HV95" s="53"/>
      <c r="HW95" s="53"/>
      <c r="HX95" s="53"/>
      <c r="HY95" s="53"/>
      <c r="HZ95" s="53"/>
      <c r="IA95" s="53"/>
      <c r="IB95" s="95"/>
      <c r="IC95" s="53"/>
      <c r="ID95" s="53"/>
      <c r="IE95" s="53"/>
      <c r="IF95" s="53"/>
      <c r="IG95" s="53"/>
      <c r="IH95" s="53"/>
      <c r="II95" s="53"/>
      <c r="IJ95" s="53"/>
      <c r="IK95" s="53"/>
      <c r="IL95" s="53"/>
      <c r="IM95" s="53"/>
      <c r="IN95" s="53"/>
      <c r="IO95" s="95"/>
      <c r="IP95" s="53"/>
      <c r="IQ95" s="53"/>
      <c r="IR95" s="53"/>
      <c r="IS95" s="53"/>
      <c r="IT95" s="53"/>
      <c r="IU95" s="53"/>
      <c r="IV95" s="53"/>
    </row>
    <row r="96" spans="1:256" s="104" customFormat="1" ht="14.25" outlineLevel="2">
      <c r="A96" s="30"/>
      <c r="B96" s="10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95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9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9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9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93"/>
      <c r="BP96" s="53"/>
      <c r="BQ96" s="53"/>
      <c r="BR96" s="53"/>
      <c r="BS96" s="53"/>
      <c r="BT96" s="53"/>
      <c r="BU96" s="53"/>
      <c r="BV96" s="53"/>
      <c r="BW96" s="53"/>
      <c r="BX96" s="53"/>
      <c r="BY96" s="53"/>
      <c r="BZ96" s="53"/>
      <c r="CA96" s="53"/>
      <c r="CB96" s="93"/>
      <c r="CC96" s="53"/>
      <c r="CD96" s="53"/>
      <c r="CE96" s="53"/>
      <c r="CF96" s="53"/>
      <c r="CG96" s="53"/>
      <c r="CH96" s="53"/>
      <c r="CI96" s="53"/>
      <c r="CJ96" s="53"/>
      <c r="CK96" s="53"/>
      <c r="CL96" s="53"/>
      <c r="CM96" s="53"/>
      <c r="CN96" s="53"/>
      <c r="CO96" s="93"/>
      <c r="CP96" s="53"/>
      <c r="CQ96" s="53"/>
      <c r="CR96" s="53"/>
      <c r="CS96" s="53"/>
      <c r="CT96" s="53"/>
      <c r="CU96" s="53"/>
      <c r="CV96" s="53"/>
      <c r="CW96" s="53"/>
      <c r="CX96" s="53"/>
      <c r="CY96" s="53"/>
      <c r="CZ96" s="53"/>
      <c r="DA96" s="53"/>
      <c r="DB96" s="93"/>
      <c r="DC96" s="53"/>
      <c r="DD96" s="53"/>
      <c r="DE96" s="53"/>
      <c r="DF96" s="53"/>
      <c r="DG96" s="53"/>
      <c r="DH96" s="53"/>
      <c r="DI96" s="53"/>
      <c r="DJ96" s="53"/>
      <c r="DK96" s="53"/>
      <c r="DL96" s="53"/>
      <c r="DM96" s="53"/>
      <c r="DN96" s="53"/>
      <c r="DO96" s="93"/>
      <c r="DP96" s="53"/>
      <c r="DQ96" s="53"/>
      <c r="DR96" s="53"/>
      <c r="DS96" s="53"/>
      <c r="DT96" s="53"/>
      <c r="DU96" s="53"/>
      <c r="DV96" s="53"/>
      <c r="DW96" s="53"/>
      <c r="DX96" s="53"/>
      <c r="DY96" s="53"/>
      <c r="DZ96" s="53"/>
      <c r="EA96" s="53"/>
      <c r="EB96" s="93"/>
      <c r="EC96" s="53"/>
      <c r="ED96" s="53"/>
      <c r="EE96" s="53"/>
      <c r="EF96" s="53"/>
      <c r="EG96" s="53"/>
      <c r="EH96" s="53"/>
      <c r="EI96" s="53"/>
      <c r="EJ96" s="53"/>
      <c r="EK96" s="53"/>
      <c r="EL96" s="53"/>
      <c r="EM96" s="53"/>
      <c r="EN96" s="53"/>
      <c r="EO96" s="93"/>
      <c r="EP96" s="53"/>
      <c r="EQ96" s="53"/>
      <c r="ER96" s="53"/>
      <c r="ES96" s="53"/>
      <c r="ET96" s="53"/>
      <c r="EU96" s="53"/>
      <c r="EV96" s="53"/>
      <c r="EW96" s="53"/>
      <c r="EX96" s="53"/>
      <c r="EY96" s="53"/>
      <c r="EZ96" s="53"/>
      <c r="FA96" s="53"/>
      <c r="FB96" s="93"/>
      <c r="FC96" s="53"/>
      <c r="FD96" s="53"/>
      <c r="FE96" s="53"/>
      <c r="FF96" s="53"/>
      <c r="FG96" s="53"/>
      <c r="FH96" s="53"/>
      <c r="FI96" s="53"/>
      <c r="FJ96" s="53"/>
      <c r="FK96" s="53"/>
      <c r="FL96" s="53"/>
      <c r="FM96" s="53"/>
      <c r="FN96" s="53"/>
      <c r="FO96" s="93"/>
      <c r="FP96" s="53"/>
      <c r="FQ96" s="53"/>
      <c r="FR96" s="53"/>
      <c r="FS96" s="53"/>
      <c r="FT96" s="53"/>
      <c r="FU96" s="53"/>
      <c r="FV96" s="53"/>
      <c r="FW96" s="53"/>
      <c r="FX96" s="53"/>
      <c r="FY96" s="53"/>
      <c r="FZ96" s="53"/>
      <c r="GA96" s="53"/>
      <c r="GB96" s="93"/>
      <c r="GC96" s="113"/>
      <c r="GD96" s="53"/>
      <c r="GE96" s="53"/>
      <c r="GF96" s="53"/>
      <c r="GG96" s="53"/>
      <c r="GH96" s="53"/>
      <c r="GI96" s="53"/>
      <c r="GJ96" s="53"/>
      <c r="GK96" s="53"/>
      <c r="GL96" s="53"/>
      <c r="GM96" s="53"/>
      <c r="GN96" s="53"/>
      <c r="GO96" s="93"/>
      <c r="GP96" s="53"/>
      <c r="GQ96" s="53"/>
      <c r="GR96" s="53"/>
      <c r="GS96" s="53"/>
      <c r="GT96" s="53"/>
      <c r="GU96" s="53"/>
      <c r="GV96" s="53"/>
      <c r="GW96" s="53"/>
      <c r="GX96" s="53"/>
      <c r="GY96" s="53"/>
      <c r="GZ96" s="53"/>
      <c r="HA96" s="53"/>
      <c r="HB96" s="93"/>
      <c r="HC96" s="49"/>
      <c r="HD96" s="53"/>
      <c r="HE96" s="53"/>
      <c r="HF96" s="53"/>
      <c r="HG96" s="53"/>
      <c r="HH96" s="53"/>
      <c r="HI96" s="53"/>
      <c r="HJ96" s="53"/>
      <c r="HK96" s="53"/>
      <c r="HL96" s="53"/>
      <c r="HM96" s="53"/>
      <c r="HN96" s="53"/>
      <c r="HO96" s="95"/>
      <c r="HP96" s="53"/>
      <c r="HQ96" s="53"/>
      <c r="HR96" s="53"/>
      <c r="HS96" s="53"/>
      <c r="HT96" s="53"/>
      <c r="HU96" s="53"/>
      <c r="HV96" s="53"/>
      <c r="HW96" s="53"/>
      <c r="HX96" s="53"/>
      <c r="HY96" s="53"/>
      <c r="HZ96" s="53"/>
      <c r="IA96" s="53"/>
      <c r="IB96" s="95"/>
      <c r="IC96" s="53"/>
      <c r="ID96" s="53"/>
      <c r="IE96" s="53"/>
      <c r="IF96" s="53"/>
      <c r="IG96" s="53"/>
      <c r="IH96" s="53"/>
      <c r="II96" s="53"/>
      <c r="IJ96" s="53"/>
      <c r="IK96" s="53"/>
      <c r="IL96" s="53"/>
      <c r="IM96" s="53"/>
      <c r="IN96" s="53"/>
      <c r="IO96" s="95"/>
      <c r="IP96" s="53"/>
      <c r="IQ96" s="53"/>
      <c r="IR96" s="53"/>
      <c r="IS96" s="53"/>
      <c r="IT96" s="53"/>
      <c r="IU96" s="53"/>
      <c r="IV96" s="53"/>
    </row>
    <row r="97" spans="1:256" s="104" customFormat="1" ht="14.25" outlineLevel="2">
      <c r="A97" s="30"/>
      <c r="B97" s="10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95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9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9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9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93"/>
      <c r="BP97" s="53"/>
      <c r="BQ97" s="53"/>
      <c r="BR97" s="53"/>
      <c r="BS97" s="53"/>
      <c r="BT97" s="53"/>
      <c r="BU97" s="53"/>
      <c r="BV97" s="53"/>
      <c r="BW97" s="53"/>
      <c r="BX97" s="53"/>
      <c r="BY97" s="53"/>
      <c r="BZ97" s="53"/>
      <c r="CA97" s="53"/>
      <c r="CB97" s="93"/>
      <c r="CC97" s="53"/>
      <c r="CD97" s="53"/>
      <c r="CE97" s="53"/>
      <c r="CF97" s="53"/>
      <c r="CG97" s="53"/>
      <c r="CH97" s="53"/>
      <c r="CI97" s="53"/>
      <c r="CJ97" s="53"/>
      <c r="CK97" s="53"/>
      <c r="CL97" s="53"/>
      <c r="CM97" s="53"/>
      <c r="CN97" s="53"/>
      <c r="CO97" s="93"/>
      <c r="CP97" s="53"/>
      <c r="CQ97" s="53"/>
      <c r="CR97" s="53"/>
      <c r="CS97" s="53"/>
      <c r="CT97" s="53"/>
      <c r="CU97" s="53"/>
      <c r="CV97" s="53"/>
      <c r="CW97" s="53"/>
      <c r="CX97" s="53"/>
      <c r="CY97" s="53"/>
      <c r="CZ97" s="53"/>
      <c r="DA97" s="53"/>
      <c r="DB97" s="93"/>
      <c r="DC97" s="53"/>
      <c r="DD97" s="53"/>
      <c r="DE97" s="53"/>
      <c r="DF97" s="53"/>
      <c r="DG97" s="53"/>
      <c r="DH97" s="53"/>
      <c r="DI97" s="53"/>
      <c r="DJ97" s="53"/>
      <c r="DK97" s="53"/>
      <c r="DL97" s="53"/>
      <c r="DM97" s="53"/>
      <c r="DN97" s="53"/>
      <c r="DO97" s="93"/>
      <c r="DP97" s="53"/>
      <c r="DQ97" s="53"/>
      <c r="DR97" s="53"/>
      <c r="DS97" s="53"/>
      <c r="DT97" s="53"/>
      <c r="DU97" s="53"/>
      <c r="DV97" s="53"/>
      <c r="DW97" s="53"/>
      <c r="DX97" s="53"/>
      <c r="DY97" s="53"/>
      <c r="DZ97" s="53"/>
      <c r="EA97" s="53"/>
      <c r="EB97" s="93"/>
      <c r="EC97" s="53"/>
      <c r="ED97" s="53"/>
      <c r="EE97" s="53"/>
      <c r="EF97" s="53"/>
      <c r="EG97" s="53"/>
      <c r="EH97" s="53"/>
      <c r="EI97" s="53"/>
      <c r="EJ97" s="53"/>
      <c r="EK97" s="53"/>
      <c r="EL97" s="53"/>
      <c r="EM97" s="53"/>
      <c r="EN97" s="53"/>
      <c r="EO97" s="93"/>
      <c r="EP97" s="53"/>
      <c r="EQ97" s="53"/>
      <c r="ER97" s="53"/>
      <c r="ES97" s="53"/>
      <c r="ET97" s="53"/>
      <c r="EU97" s="53"/>
      <c r="EV97" s="53"/>
      <c r="EW97" s="53"/>
      <c r="EX97" s="53"/>
      <c r="EY97" s="53"/>
      <c r="EZ97" s="53"/>
      <c r="FA97" s="53"/>
      <c r="FB97" s="93"/>
      <c r="FC97" s="53"/>
      <c r="FD97" s="53"/>
      <c r="FE97" s="53"/>
      <c r="FF97" s="53"/>
      <c r="FG97" s="53"/>
      <c r="FH97" s="53"/>
      <c r="FI97" s="53"/>
      <c r="FJ97" s="53"/>
      <c r="FK97" s="53"/>
      <c r="FL97" s="53"/>
      <c r="FM97" s="53"/>
      <c r="FN97" s="53"/>
      <c r="FO97" s="93"/>
      <c r="FP97" s="53"/>
      <c r="FQ97" s="53"/>
      <c r="FR97" s="53"/>
      <c r="FS97" s="53"/>
      <c r="FT97" s="53"/>
      <c r="FU97" s="53"/>
      <c r="FV97" s="53"/>
      <c r="FW97" s="53"/>
      <c r="FX97" s="53"/>
      <c r="FY97" s="53"/>
      <c r="FZ97" s="53"/>
      <c r="GA97" s="53"/>
      <c r="GB97" s="93"/>
      <c r="GC97" s="113"/>
      <c r="GD97" s="53"/>
      <c r="GE97" s="53"/>
      <c r="GF97" s="53"/>
      <c r="GG97" s="53"/>
      <c r="GH97" s="53"/>
      <c r="GI97" s="53"/>
      <c r="GJ97" s="53"/>
      <c r="GK97" s="53"/>
      <c r="GL97" s="53"/>
      <c r="GM97" s="53"/>
      <c r="GN97" s="53"/>
      <c r="GO97" s="93"/>
      <c r="GP97" s="53"/>
      <c r="GQ97" s="53"/>
      <c r="GR97" s="53"/>
      <c r="GS97" s="53"/>
      <c r="GT97" s="53"/>
      <c r="GU97" s="53"/>
      <c r="GV97" s="53"/>
      <c r="GW97" s="53"/>
      <c r="GX97" s="53"/>
      <c r="GY97" s="53"/>
      <c r="GZ97" s="53"/>
      <c r="HA97" s="53"/>
      <c r="HB97" s="93"/>
      <c r="HC97" s="49"/>
      <c r="HD97" s="53"/>
      <c r="HE97" s="53"/>
      <c r="HF97" s="53"/>
      <c r="HG97" s="53"/>
      <c r="HH97" s="53"/>
      <c r="HI97" s="53"/>
      <c r="HJ97" s="53"/>
      <c r="HK97" s="53"/>
      <c r="HL97" s="53"/>
      <c r="HM97" s="53"/>
      <c r="HN97" s="53"/>
      <c r="HO97" s="95"/>
      <c r="HP97" s="53"/>
      <c r="HQ97" s="53"/>
      <c r="HR97" s="53"/>
      <c r="HS97" s="53"/>
      <c r="HT97" s="53"/>
      <c r="HU97" s="53"/>
      <c r="HV97" s="53"/>
      <c r="HW97" s="53"/>
      <c r="HX97" s="53"/>
      <c r="HY97" s="53"/>
      <c r="HZ97" s="53"/>
      <c r="IA97" s="53"/>
      <c r="IB97" s="95"/>
      <c r="IC97" s="53"/>
      <c r="ID97" s="53"/>
      <c r="IE97" s="53"/>
      <c r="IF97" s="53"/>
      <c r="IG97" s="53"/>
      <c r="IH97" s="53"/>
      <c r="II97" s="53"/>
      <c r="IJ97" s="53"/>
      <c r="IK97" s="53"/>
      <c r="IL97" s="53"/>
      <c r="IM97" s="53"/>
      <c r="IN97" s="53"/>
      <c r="IO97" s="95"/>
      <c r="IP97" s="53"/>
      <c r="IQ97" s="53"/>
      <c r="IR97" s="53"/>
      <c r="IS97" s="53"/>
      <c r="IT97" s="53"/>
      <c r="IU97" s="53"/>
      <c r="IV97" s="53"/>
    </row>
    <row r="98" spans="1:256" s="104" customFormat="1" ht="14.25" outlineLevel="2">
      <c r="A98" s="30"/>
      <c r="B98" s="10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95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9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9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9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93"/>
      <c r="BP98" s="53"/>
      <c r="BQ98" s="53"/>
      <c r="BR98" s="53"/>
      <c r="BS98" s="53"/>
      <c r="BT98" s="53"/>
      <c r="BU98" s="53"/>
      <c r="BV98" s="53"/>
      <c r="BW98" s="53"/>
      <c r="BX98" s="53"/>
      <c r="BY98" s="53"/>
      <c r="BZ98" s="53"/>
      <c r="CA98" s="53"/>
      <c r="CB98" s="93"/>
      <c r="CC98" s="53"/>
      <c r="CD98" s="53"/>
      <c r="CE98" s="53"/>
      <c r="CF98" s="53"/>
      <c r="CG98" s="53"/>
      <c r="CH98" s="53"/>
      <c r="CI98" s="53"/>
      <c r="CJ98" s="53"/>
      <c r="CK98" s="53"/>
      <c r="CL98" s="53"/>
      <c r="CM98" s="53"/>
      <c r="CN98" s="53"/>
      <c r="CO98" s="93"/>
      <c r="CP98" s="53"/>
      <c r="CQ98" s="53"/>
      <c r="CR98" s="53"/>
      <c r="CS98" s="53"/>
      <c r="CT98" s="53"/>
      <c r="CU98" s="53"/>
      <c r="CV98" s="53"/>
      <c r="CW98" s="53"/>
      <c r="CX98" s="53"/>
      <c r="CY98" s="53"/>
      <c r="CZ98" s="53"/>
      <c r="DA98" s="53"/>
      <c r="DB98" s="93"/>
      <c r="DC98" s="53"/>
      <c r="DD98" s="53"/>
      <c r="DE98" s="53"/>
      <c r="DF98" s="53"/>
      <c r="DG98" s="53"/>
      <c r="DH98" s="53"/>
      <c r="DI98" s="53"/>
      <c r="DJ98" s="53"/>
      <c r="DK98" s="53"/>
      <c r="DL98" s="53"/>
      <c r="DM98" s="53"/>
      <c r="DN98" s="53"/>
      <c r="DO98" s="93"/>
      <c r="DP98" s="53"/>
      <c r="DQ98" s="53"/>
      <c r="DR98" s="53"/>
      <c r="DS98" s="53"/>
      <c r="DT98" s="53"/>
      <c r="DU98" s="53"/>
      <c r="DV98" s="53"/>
      <c r="DW98" s="53"/>
      <c r="DX98" s="53"/>
      <c r="DY98" s="53"/>
      <c r="DZ98" s="53"/>
      <c r="EA98" s="53"/>
      <c r="EB98" s="93"/>
      <c r="EC98" s="53"/>
      <c r="ED98" s="53"/>
      <c r="EE98" s="53"/>
      <c r="EF98" s="53"/>
      <c r="EG98" s="53"/>
      <c r="EH98" s="53"/>
      <c r="EI98" s="53"/>
      <c r="EJ98" s="53"/>
      <c r="EK98" s="53"/>
      <c r="EL98" s="53"/>
      <c r="EM98" s="53"/>
      <c r="EN98" s="53"/>
      <c r="EO98" s="93"/>
      <c r="EP98" s="53"/>
      <c r="EQ98" s="53"/>
      <c r="ER98" s="53"/>
      <c r="ES98" s="53"/>
      <c r="ET98" s="53"/>
      <c r="EU98" s="53"/>
      <c r="EV98" s="53"/>
      <c r="EW98" s="53"/>
      <c r="EX98" s="53"/>
      <c r="EY98" s="53"/>
      <c r="EZ98" s="53"/>
      <c r="FA98" s="53"/>
      <c r="FB98" s="93"/>
      <c r="FC98" s="53"/>
      <c r="FD98" s="53"/>
      <c r="FE98" s="53"/>
      <c r="FF98" s="53"/>
      <c r="FG98" s="53"/>
      <c r="FH98" s="53"/>
      <c r="FI98" s="53"/>
      <c r="FJ98" s="53"/>
      <c r="FK98" s="53"/>
      <c r="FL98" s="53"/>
      <c r="FM98" s="53"/>
      <c r="FN98" s="53"/>
      <c r="FO98" s="93"/>
      <c r="FP98" s="53"/>
      <c r="FQ98" s="53"/>
      <c r="FR98" s="53"/>
      <c r="FS98" s="53"/>
      <c r="FT98" s="53"/>
      <c r="FU98" s="53"/>
      <c r="FV98" s="53"/>
      <c r="FW98" s="53"/>
      <c r="FX98" s="53"/>
      <c r="FY98" s="53"/>
      <c r="FZ98" s="53"/>
      <c r="GA98" s="53"/>
      <c r="GB98" s="93"/>
      <c r="GC98" s="113"/>
      <c r="GD98" s="53"/>
      <c r="GE98" s="53"/>
      <c r="GF98" s="53"/>
      <c r="GG98" s="53"/>
      <c r="GH98" s="53"/>
      <c r="GI98" s="53"/>
      <c r="GJ98" s="53"/>
      <c r="GK98" s="53"/>
      <c r="GL98" s="53"/>
      <c r="GM98" s="53"/>
      <c r="GN98" s="53"/>
      <c r="GO98" s="93"/>
      <c r="GP98" s="53"/>
      <c r="GQ98" s="53"/>
      <c r="GR98" s="53"/>
      <c r="GS98" s="53"/>
      <c r="GT98" s="53"/>
      <c r="GU98" s="53"/>
      <c r="GV98" s="53"/>
      <c r="GW98" s="53"/>
      <c r="GX98" s="53"/>
      <c r="GY98" s="53"/>
      <c r="GZ98" s="53"/>
      <c r="HA98" s="53"/>
      <c r="HB98" s="93"/>
      <c r="HC98" s="49"/>
      <c r="HD98" s="53"/>
      <c r="HE98" s="53"/>
      <c r="HF98" s="53"/>
      <c r="HG98" s="53"/>
      <c r="HH98" s="53"/>
      <c r="HI98" s="53"/>
      <c r="HJ98" s="53"/>
      <c r="HK98" s="53"/>
      <c r="HL98" s="53"/>
      <c r="HM98" s="53"/>
      <c r="HN98" s="53"/>
      <c r="HO98" s="95"/>
      <c r="HP98" s="53"/>
      <c r="HQ98" s="53"/>
      <c r="HR98" s="53"/>
      <c r="HS98" s="53"/>
      <c r="HT98" s="53"/>
      <c r="HU98" s="53"/>
      <c r="HV98" s="53"/>
      <c r="HW98" s="53"/>
      <c r="HX98" s="53"/>
      <c r="HY98" s="53"/>
      <c r="HZ98" s="53"/>
      <c r="IA98" s="53"/>
      <c r="IB98" s="95"/>
      <c r="IC98" s="53"/>
      <c r="ID98" s="53"/>
      <c r="IE98" s="53"/>
      <c r="IF98" s="53"/>
      <c r="IG98" s="53"/>
      <c r="IH98" s="53"/>
      <c r="II98" s="53"/>
      <c r="IJ98" s="53"/>
      <c r="IK98" s="53"/>
      <c r="IL98" s="53"/>
      <c r="IM98" s="53"/>
      <c r="IN98" s="53"/>
      <c r="IO98" s="95"/>
      <c r="IP98" s="53"/>
      <c r="IQ98" s="53"/>
      <c r="IR98" s="53"/>
      <c r="IS98" s="53"/>
      <c r="IT98" s="53"/>
      <c r="IU98" s="53"/>
      <c r="IV98" s="53"/>
    </row>
    <row r="99" spans="1:256" s="51" customFormat="1" ht="14.25">
      <c r="A99" s="48"/>
      <c r="B99" s="101" t="s">
        <v>420</v>
      </c>
      <c r="C99" s="49"/>
      <c r="D99" s="49"/>
      <c r="E99" s="49"/>
      <c r="F99" s="49"/>
      <c r="G99" s="49"/>
      <c r="H99" s="49"/>
      <c r="I99" s="49"/>
      <c r="J99" s="49"/>
      <c r="K99" s="49">
        <f>K86-K91</f>
        <v>399875</v>
      </c>
      <c r="L99" s="49">
        <f>L86-L91</f>
        <v>60.5605</v>
      </c>
      <c r="M99" s="49">
        <f>M86-M91</f>
        <v>7.227166666666667</v>
      </c>
      <c r="N99" s="49">
        <f>N86-N91</f>
        <v>7.227166666666667</v>
      </c>
      <c r="O99" s="93">
        <f>N99+M99+L99+K99</f>
        <v>399950.0148333333</v>
      </c>
      <c r="P99" s="49">
        <f aca="true" t="shared" si="118" ref="P99:AA99">P86-P91</f>
        <v>7.227166666666667</v>
      </c>
      <c r="Q99" s="49">
        <f t="shared" si="118"/>
        <v>7.227166666666667</v>
      </c>
      <c r="R99" s="49">
        <f t="shared" si="118"/>
        <v>7.227166666666667</v>
      </c>
      <c r="S99" s="49">
        <f t="shared" si="118"/>
        <v>7.227166666666667</v>
      </c>
      <c r="T99" s="49">
        <f t="shared" si="118"/>
        <v>7.227166666666667</v>
      </c>
      <c r="U99" s="49">
        <f t="shared" si="118"/>
        <v>7.227166666666667</v>
      </c>
      <c r="V99" s="49">
        <f t="shared" si="118"/>
        <v>7.227166666666667</v>
      </c>
      <c r="W99" s="49">
        <f t="shared" si="118"/>
        <v>7.227166666666667</v>
      </c>
      <c r="X99" s="49">
        <f t="shared" si="118"/>
        <v>3941.4831</v>
      </c>
      <c r="Y99" s="49">
        <f t="shared" si="118"/>
        <v>68.07383333333333</v>
      </c>
      <c r="Z99" s="49">
        <f t="shared" si="118"/>
        <v>9.740499999999999</v>
      </c>
      <c r="AA99" s="49">
        <f t="shared" si="118"/>
        <v>9.740499999999999</v>
      </c>
      <c r="AB99" s="93">
        <f>AA99+Z99+Y99+X99+W99+V99+U99+T99+S99+R99+Q99+P99</f>
        <v>4086.8552666666656</v>
      </c>
      <c r="AC99" s="49">
        <f aca="true" t="shared" si="119" ref="AC99:AM99">AC86-AC91</f>
        <v>9.740499999999999</v>
      </c>
      <c r="AD99" s="49">
        <f t="shared" si="119"/>
        <v>9.740499999999999</v>
      </c>
      <c r="AE99" s="49">
        <f t="shared" si="119"/>
        <v>9.740499999999999</v>
      </c>
      <c r="AF99" s="49">
        <f t="shared" si="119"/>
        <v>9.740499999999999</v>
      </c>
      <c r="AG99" s="49">
        <f t="shared" si="119"/>
        <v>9.740499999999999</v>
      </c>
      <c r="AH99" s="49">
        <f t="shared" si="119"/>
        <v>9.740499999999999</v>
      </c>
      <c r="AI99" s="49">
        <f t="shared" si="119"/>
        <v>9.740499999999999</v>
      </c>
      <c r="AJ99" s="49">
        <f t="shared" si="119"/>
        <v>9.740499999999999</v>
      </c>
      <c r="AK99" s="49">
        <f>AK86-AK91</f>
        <v>26711.488384999997</v>
      </c>
      <c r="AL99" s="49">
        <f>AL86-AL91</f>
        <v>615.7405144666666</v>
      </c>
      <c r="AM99" s="49">
        <f t="shared" si="119"/>
        <v>149.6477358000002</v>
      </c>
      <c r="AN99" s="49"/>
      <c r="AO99" s="93">
        <f>AN99+AM99+AL99+AK99+AJ99+AI99+AH99+AG99+AF99+AE99+AD99+AC99</f>
        <v>27554.800635266663</v>
      </c>
      <c r="AP99" s="49"/>
      <c r="AQ99" s="49"/>
      <c r="AR99" s="49"/>
      <c r="AS99" s="49"/>
      <c r="AT99" s="49"/>
      <c r="AU99" s="49"/>
      <c r="AV99" s="49"/>
      <c r="AW99" s="49"/>
      <c r="AX99" s="49">
        <f>AX86-AX91</f>
        <v>37844.95332003334</v>
      </c>
      <c r="AY99" s="49">
        <f>AY86-AY91</f>
        <v>768.3831330666667</v>
      </c>
      <c r="AZ99" s="49">
        <f>AZ86-AZ91</f>
        <v>316.7544475499999</v>
      </c>
      <c r="BA99" s="49"/>
      <c r="BB99" s="93">
        <f>BA99+AZ99+AY99+AX99+AW99+AV99+AU99+AT99+AS99+AR99+AQ99+AP99</f>
        <v>38930.09090065001</v>
      </c>
      <c r="BC99" s="49">
        <f>BC86-BC91</f>
        <v>7060.892569277699</v>
      </c>
      <c r="BD99" s="49"/>
      <c r="BE99" s="49"/>
      <c r="BF99" s="49"/>
      <c r="BG99" s="49"/>
      <c r="BH99" s="49"/>
      <c r="BI99" s="49"/>
      <c r="BJ99" s="49"/>
      <c r="BK99" s="49">
        <f>BK86-BK91</f>
        <v>150.89413185000024</v>
      </c>
      <c r="BL99" s="49">
        <f>BL86-BL91</f>
        <v>85.08921813333336</v>
      </c>
      <c r="BM99" s="49">
        <f>BM86-BM91</f>
        <v>316.7544475499999</v>
      </c>
      <c r="BN99" s="49"/>
      <c r="BO99" s="93">
        <f>BN99+BM99+BL99+BK99+BJ99+BI99+BH99+BG99+BF99+BE99+BD99+BC99</f>
        <v>7613.630366811033</v>
      </c>
      <c r="BP99" s="49">
        <f>BP86-BP91</f>
        <v>19136.188928148313</v>
      </c>
      <c r="BQ99" s="49"/>
      <c r="BR99" s="49"/>
      <c r="BS99" s="49"/>
      <c r="BT99" s="49"/>
      <c r="BU99" s="49"/>
      <c r="BV99" s="49"/>
      <c r="BW99" s="49"/>
      <c r="BX99" s="49">
        <f>BX86-BX91</f>
        <v>221.31482187500023</v>
      </c>
      <c r="BY99" s="49">
        <f>BY86-BY91</f>
        <v>6.630462733333388</v>
      </c>
      <c r="BZ99" s="49">
        <f>BZ86-BZ91</f>
        <v>316.7544475499999</v>
      </c>
      <c r="CA99" s="49"/>
      <c r="CB99" s="93">
        <f>CA99+BZ99+BY99+BX99+BW99+BV99+BU99+BT99+BS99+BR99+BQ99+BP99</f>
        <v>19680.888660306646</v>
      </c>
      <c r="CC99" s="49">
        <f>CC86-CC91</f>
        <v>20072.098183332957</v>
      </c>
      <c r="CD99" s="49"/>
      <c r="CE99" s="49"/>
      <c r="CF99" s="49"/>
      <c r="CG99" s="49"/>
      <c r="CH99" s="49"/>
      <c r="CI99" s="49"/>
      <c r="CJ99" s="49"/>
      <c r="CK99" s="49">
        <f>CK86-CK91</f>
        <v>221.31482187500023</v>
      </c>
      <c r="CL99" s="49">
        <f>CL86-CL91</f>
        <v>85.08921813333336</v>
      </c>
      <c r="CM99" s="49">
        <f>CM86-CM91</f>
        <v>232.4718427749997</v>
      </c>
      <c r="CN99" s="49"/>
      <c r="CO99" s="93">
        <f>CN99+CM99+CL99+CK99+CJ99+CI99+CH99+CG99+CF99+CE99+CD99+CC99</f>
        <v>20610.97406611629</v>
      </c>
      <c r="CP99" s="49">
        <f>CP86-CP91</f>
        <v>18859.30570296298</v>
      </c>
      <c r="CQ99" s="49"/>
      <c r="CR99" s="49"/>
      <c r="CS99" s="49"/>
      <c r="CT99" s="49"/>
      <c r="CU99" s="49"/>
      <c r="CV99" s="49"/>
      <c r="CW99" s="49"/>
      <c r="CX99" s="49">
        <f>CX86-CX91</f>
        <v>1834.6481552083333</v>
      </c>
      <c r="CY99" s="49">
        <f>CY86-CY91</f>
        <v>85.08921813333336</v>
      </c>
      <c r="CZ99" s="49">
        <f>CZ86-CZ91</f>
        <v>316.7544475499999</v>
      </c>
      <c r="DA99" s="49"/>
      <c r="DB99" s="93">
        <f>DA99+CZ99+CY99+CX99+CW99+CV99+CU99+CT99+CS99+CR99+CQ99+CP99</f>
        <v>21095.79752385465</v>
      </c>
      <c r="DC99" s="49">
        <f>DC86-DC91</f>
        <v>17230.04007375655</v>
      </c>
      <c r="DD99" s="49"/>
      <c r="DE99" s="49"/>
      <c r="DF99" s="49"/>
      <c r="DG99" s="49"/>
      <c r="DH99" s="49"/>
      <c r="DI99" s="49"/>
      <c r="DJ99" s="49"/>
      <c r="DK99" s="49">
        <f>DK86-DK91</f>
        <v>1027.9814885416667</v>
      </c>
      <c r="DL99" s="49">
        <f>DL86-DL91</f>
        <v>85.08921813333336</v>
      </c>
      <c r="DM99" s="49">
        <f>DM86-DM91</f>
        <v>316.7544475499999</v>
      </c>
      <c r="DN99" s="49"/>
      <c r="DO99" s="93">
        <f>DN99+DM99+DL99+DK99+DJ99+DI99+DH99+DG99+DF99+DE99+DD99+DC99</f>
        <v>18659.86522798155</v>
      </c>
      <c r="DP99" s="49">
        <f>DP86-DP91</f>
        <v>15969.917970886545</v>
      </c>
      <c r="DQ99" s="49"/>
      <c r="DR99" s="49"/>
      <c r="DS99" s="49"/>
      <c r="DT99" s="49"/>
      <c r="DU99" s="49"/>
      <c r="DV99" s="49"/>
      <c r="DW99" s="49"/>
      <c r="DX99" s="49">
        <f>DX86-DX91</f>
        <v>150.89413185000024</v>
      </c>
      <c r="DY99" s="49">
        <f>DY86-DY91</f>
        <v>85.08921813333336</v>
      </c>
      <c r="DZ99" s="49">
        <f>DZ86-DZ91</f>
        <v>316.7544475499999</v>
      </c>
      <c r="EA99" s="49"/>
      <c r="EB99" s="93">
        <f>EA99+DZ99+DY99+DX99+DW99+DV99+DU99+DT99+DS99+DR99+DQ99+DP99</f>
        <v>16522.655768419878</v>
      </c>
      <c r="EC99" s="49">
        <f>EC86-EC91</f>
        <v>14703.537704821658</v>
      </c>
      <c r="ED99" s="49"/>
      <c r="EE99" s="49"/>
      <c r="EF99" s="49"/>
      <c r="EG99" s="49"/>
      <c r="EH99" s="49"/>
      <c r="EI99" s="49"/>
      <c r="EJ99" s="49"/>
      <c r="EK99" s="49">
        <f>EK86-EK91</f>
        <v>221.31482187500023</v>
      </c>
      <c r="EL99" s="49">
        <f>EL86-EL91</f>
        <v>6.630462733333388</v>
      </c>
      <c r="EM99" s="49">
        <f>EM86-EM91</f>
        <v>316.7544475499999</v>
      </c>
      <c r="EN99" s="49"/>
      <c r="EO99" s="93">
        <f>EN99+EM99+EL99+EK99+EJ99+EI99+EH99+EG99+EF99+EE99+ED99+EC99</f>
        <v>15248.23743697999</v>
      </c>
      <c r="EP99" s="49">
        <f>EP86-EP91</f>
        <v>13130.690949262811</v>
      </c>
      <c r="EQ99" s="49"/>
      <c r="ER99" s="49"/>
      <c r="ES99" s="49"/>
      <c r="ET99" s="49"/>
      <c r="EU99" s="49"/>
      <c r="EV99" s="49"/>
      <c r="EW99" s="49"/>
      <c r="EX99" s="49">
        <f>EX86-EX91</f>
        <v>221.31482187500023</v>
      </c>
      <c r="EY99" s="49">
        <f>EY86-EY91</f>
        <v>6.630462733333388</v>
      </c>
      <c r="EZ99" s="49">
        <f>EZ86-EZ91</f>
        <v>316.7544475499999</v>
      </c>
      <c r="FA99" s="49"/>
      <c r="FB99" s="93">
        <f>FA99+EZ99+EY99+EX99+EW99+EV99+EU99+ET99+ES99+ER99+EQ99+EP99</f>
        <v>13675.390681421144</v>
      </c>
      <c r="FC99" s="49">
        <f>FC86-FC91</f>
        <v>11887.966513030206</v>
      </c>
      <c r="FD99" s="49"/>
      <c r="FE99" s="49"/>
      <c r="FF99" s="49"/>
      <c r="FG99" s="49"/>
      <c r="FH99" s="49"/>
      <c r="FI99" s="49"/>
      <c r="FJ99" s="49"/>
      <c r="FK99" s="49">
        <f>FK86-FK91</f>
        <v>1834.6481552083333</v>
      </c>
      <c r="FL99" s="49">
        <f>FL86-FL91</f>
        <v>85.08921813333336</v>
      </c>
      <c r="FM99" s="49">
        <f>FM86-FM91</f>
        <v>232.4718427749997</v>
      </c>
      <c r="FN99" s="49"/>
      <c r="FO99" s="93">
        <f>FN99+FM99+FL99+FK99+FJ99+FI99+FH99+FG99+FF99+FE99+FD99+FC99</f>
        <v>14040.175729146871</v>
      </c>
      <c r="FP99" s="49"/>
      <c r="FQ99" s="49">
        <f>FQ86-FQ91</f>
        <v>-399875</v>
      </c>
      <c r="FR99" s="49"/>
      <c r="FS99" s="49"/>
      <c r="FT99" s="49"/>
      <c r="FU99" s="49"/>
      <c r="FV99" s="49"/>
      <c r="FW99" s="49"/>
      <c r="FX99" s="49">
        <f>FX86-FX91</f>
        <v>1027.9814885416667</v>
      </c>
      <c r="FY99" s="49">
        <f>FY86-FY91</f>
        <v>85.08921813333336</v>
      </c>
      <c r="FZ99" s="49">
        <f>FZ86-FZ91</f>
        <v>316.7544475499999</v>
      </c>
      <c r="GA99" s="49"/>
      <c r="GB99" s="93">
        <f>GA99+FZ99+FY99+FX99+FW99+FV99+FU99+FT99+FS99+FR99+FQ99+FP99</f>
        <v>-398445.174845775</v>
      </c>
      <c r="GC99" s="49">
        <f>GC86-GC91</f>
        <v>9218.189538600212</v>
      </c>
      <c r="GD99" s="49"/>
      <c r="GE99" s="49"/>
      <c r="GF99" s="49"/>
      <c r="GG99" s="49"/>
      <c r="GH99" s="49"/>
      <c r="GI99" s="49"/>
      <c r="GJ99" s="49"/>
      <c r="GK99" s="49">
        <f>GK86-GK91</f>
        <v>150.89413185000024</v>
      </c>
      <c r="GL99" s="49">
        <f>GL86-GL91</f>
        <v>85.08921813333336</v>
      </c>
      <c r="GM99" s="49">
        <f>GM86-GM91</f>
        <v>316.7544475499999</v>
      </c>
      <c r="GN99" s="49"/>
      <c r="GO99" s="93">
        <f>GN99+GM99+GL99+GK99+GJ99+GI99+GH99+GG99+GF99+GE99+GD99+GC99</f>
        <v>9770.927336133545</v>
      </c>
      <c r="GP99" s="49">
        <f>GP86-GP91</f>
        <v>9955.70456183307</v>
      </c>
      <c r="GQ99" s="49"/>
      <c r="GR99" s="49"/>
      <c r="GS99" s="49"/>
      <c r="GT99" s="49"/>
      <c r="GU99" s="49"/>
      <c r="GV99" s="49"/>
      <c r="GW99" s="49"/>
      <c r="GX99" s="49">
        <f>GX86-GX91</f>
        <v>150.89413185000024</v>
      </c>
      <c r="GY99" s="49">
        <f>GY86-GY91</f>
        <v>85.08921813333336</v>
      </c>
      <c r="GZ99" s="49">
        <f>GZ86-GZ91</f>
        <v>316.7544475499999</v>
      </c>
      <c r="HA99" s="49"/>
      <c r="HB99" s="93">
        <f>HA99+GZ99+GY99+GX99+GW99+GV99+GU99+GT99+GS99+GR99+GQ99+GP99</f>
        <v>10508.442359366403</v>
      </c>
      <c r="HC99" s="49">
        <f t="shared" si="115"/>
        <v>239503.5719466796</v>
      </c>
      <c r="HD99" s="49"/>
      <c r="HE99" s="49"/>
      <c r="HF99" s="49"/>
      <c r="HG99" s="49"/>
      <c r="HH99" s="49"/>
      <c r="HI99" s="49"/>
      <c r="HJ99" s="49"/>
      <c r="HK99" s="49"/>
      <c r="HL99" s="49"/>
      <c r="HM99" s="49"/>
      <c r="HN99" s="49"/>
      <c r="HO99" s="93"/>
      <c r="HP99" s="49"/>
      <c r="HQ99" s="49"/>
      <c r="HR99" s="49"/>
      <c r="HS99" s="49"/>
      <c r="HT99" s="49"/>
      <c r="HU99" s="49"/>
      <c r="HV99" s="49"/>
      <c r="HW99" s="49"/>
      <c r="HX99" s="49"/>
      <c r="HY99" s="49"/>
      <c r="HZ99" s="49"/>
      <c r="IA99" s="49"/>
      <c r="IB99" s="93"/>
      <c r="IC99" s="49"/>
      <c r="ID99" s="49"/>
      <c r="IE99" s="49"/>
      <c r="IF99" s="49"/>
      <c r="IG99" s="49"/>
      <c r="IH99" s="49"/>
      <c r="II99" s="49"/>
      <c r="IJ99" s="49"/>
      <c r="IK99" s="49"/>
      <c r="IL99" s="49"/>
      <c r="IM99" s="49"/>
      <c r="IN99" s="49"/>
      <c r="IO99" s="93"/>
      <c r="IP99" s="49"/>
      <c r="IQ99" s="49"/>
      <c r="IR99" s="49"/>
      <c r="IS99" s="49"/>
      <c r="IT99" s="49"/>
      <c r="IU99" s="49"/>
      <c r="IV99" s="49"/>
    </row>
    <row r="100" spans="1:256" s="51" customFormat="1" ht="14.25">
      <c r="A100" s="48"/>
      <c r="B100" s="105" t="s">
        <v>421</v>
      </c>
      <c r="C100" s="50"/>
      <c r="D100" s="50"/>
      <c r="E100" s="50"/>
      <c r="F100" s="50"/>
      <c r="G100" s="50"/>
      <c r="H100" s="50"/>
      <c r="I100" s="50"/>
      <c r="J100" s="50"/>
      <c r="K100" s="50">
        <f>K55+K84+K99</f>
        <v>388515.70999868</v>
      </c>
      <c r="L100" s="50">
        <f>L55+L84+L99</f>
        <v>-425.72950132000005</v>
      </c>
      <c r="M100" s="50">
        <f>M55+M84+M99</f>
        <v>-475.9811502333333</v>
      </c>
      <c r="N100" s="50">
        <f>N55+N84+N99</f>
        <v>-461.3372097133333</v>
      </c>
      <c r="O100" s="93">
        <f>N100+M100+L100+K100</f>
        <v>387152.66213741334</v>
      </c>
      <c r="P100" s="50">
        <f aca="true" t="shared" si="120" ref="P100:AA100">P55+P84+P99</f>
        <v>-479.06283465333337</v>
      </c>
      <c r="Q100" s="50">
        <f t="shared" si="120"/>
        <v>-479.06283465333337</v>
      </c>
      <c r="R100" s="50">
        <f t="shared" si="120"/>
        <v>-475.9811502333333</v>
      </c>
      <c r="S100" s="50">
        <f t="shared" si="120"/>
        <v>-461.3372097133333</v>
      </c>
      <c r="T100" s="50">
        <f t="shared" si="120"/>
        <v>-1678.4890073133336</v>
      </c>
      <c r="U100" s="50">
        <f t="shared" si="120"/>
        <v>-428.4890073133334</v>
      </c>
      <c r="V100" s="50">
        <f t="shared" si="120"/>
        <v>-428.4890073133334</v>
      </c>
      <c r="W100" s="50">
        <f t="shared" si="120"/>
        <v>-12236.358607313332</v>
      </c>
      <c r="X100" s="50">
        <f t="shared" si="120"/>
        <v>-64428.9817951</v>
      </c>
      <c r="Y100" s="50">
        <f t="shared" si="120"/>
        <v>-1154.6370645366667</v>
      </c>
      <c r="Z100" s="50">
        <f t="shared" si="120"/>
        <v>-1203.4803251</v>
      </c>
      <c r="AA100" s="50">
        <f t="shared" si="120"/>
        <v>-1203.4803251</v>
      </c>
      <c r="AB100" s="93">
        <f>AA100+Z100+Y100+X100+W100+V100+U100+T100+S100+R100+Q100+P100</f>
        <v>-84657.84916834332</v>
      </c>
      <c r="AC100" s="50">
        <f aca="true" t="shared" si="121" ref="AC100:GA100">AC55+AC84+AC99</f>
        <v>-1263.0285388223076</v>
      </c>
      <c r="AD100" s="50">
        <f t="shared" si="121"/>
        <v>-1254.0541524399998</v>
      </c>
      <c r="AE100" s="50">
        <f t="shared" si="121"/>
        <v>-1250.97246802</v>
      </c>
      <c r="AF100" s="50">
        <f t="shared" si="121"/>
        <v>-1276.690647745</v>
      </c>
      <c r="AG100" s="50">
        <f t="shared" si="121"/>
        <v>-14501.480325100001</v>
      </c>
      <c r="AH100" s="50">
        <f t="shared" si="121"/>
        <v>-1203.4803251</v>
      </c>
      <c r="AI100" s="50">
        <f t="shared" si="121"/>
        <v>-1233.261489857143</v>
      </c>
      <c r="AJ100" s="50">
        <f t="shared" si="121"/>
        <v>-81437.19850141999</v>
      </c>
      <c r="AK100" s="50">
        <f>AK55+AK84+AK99</f>
        <v>-85505.250375312</v>
      </c>
      <c r="AL100" s="50">
        <f>AL55+AL84+AL99</f>
        <v>-2764.9747326253355</v>
      </c>
      <c r="AM100" s="50">
        <f t="shared" si="121"/>
        <v>-24.620732719999978</v>
      </c>
      <c r="AN100" s="50">
        <f t="shared" si="121"/>
        <v>340.56238329999906</v>
      </c>
      <c r="AO100" s="93">
        <f>AN100+AM100+AL100+AK100+AJ100+AI100+AH100+AG100+AF100+AE100+AD100+AC100</f>
        <v>-191374.44990586178</v>
      </c>
      <c r="AP100" s="50">
        <f t="shared" si="121"/>
        <v>3730.1387616216543</v>
      </c>
      <c r="AQ100" s="50">
        <f t="shared" si="121"/>
        <v>5877.568040382668</v>
      </c>
      <c r="AR100" s="50">
        <f t="shared" si="121"/>
        <v>5286.991607332</v>
      </c>
      <c r="AS100" s="50">
        <f t="shared" si="121"/>
        <v>-2931.926851548267</v>
      </c>
      <c r="AT100" s="50">
        <f t="shared" si="121"/>
        <v>-1504.239118014999</v>
      </c>
      <c r="AU100" s="50">
        <f t="shared" si="121"/>
        <v>-943.1758346093338</v>
      </c>
      <c r="AV100" s="50">
        <f t="shared" si="121"/>
        <v>-4950.223308482</v>
      </c>
      <c r="AW100" s="50">
        <f t="shared" si="121"/>
        <v>-115685.552547664</v>
      </c>
      <c r="AX100" s="50">
        <f t="shared" si="121"/>
        <v>31209.36894362134</v>
      </c>
      <c r="AY100" s="50">
        <f t="shared" si="121"/>
        <v>-7275.887774783332</v>
      </c>
      <c r="AZ100" s="50">
        <f t="shared" si="121"/>
        <v>-358.599167974</v>
      </c>
      <c r="BA100" s="50">
        <f t="shared" si="121"/>
        <v>3274.300562968667</v>
      </c>
      <c r="BB100" s="93">
        <f>BA100+AZ100+AY100+AX100+AW100+AV100+AU100+AT100+AS100+AR100+AQ100+AP100</f>
        <v>-84271.23668714962</v>
      </c>
      <c r="BC100" s="50">
        <f t="shared" si="121"/>
        <v>22041.249846807696</v>
      </c>
      <c r="BD100" s="50">
        <f t="shared" si="121"/>
        <v>12331.323153696663</v>
      </c>
      <c r="BE100" s="50">
        <f t="shared" si="121"/>
        <v>9467.232860421329</v>
      </c>
      <c r="BF100" s="50">
        <f t="shared" si="121"/>
        <v>-6729.577848338136</v>
      </c>
      <c r="BG100" s="50">
        <f t="shared" si="121"/>
        <v>12347.429031258333</v>
      </c>
      <c r="BH100" s="50">
        <f t="shared" si="121"/>
        <v>-772.2757044440004</v>
      </c>
      <c r="BI100" s="50">
        <f t="shared" si="121"/>
        <v>-7868.763287436381</v>
      </c>
      <c r="BJ100" s="50">
        <f t="shared" si="121"/>
        <v>-3283.5082360400006</v>
      </c>
      <c r="BK100" s="50">
        <f t="shared" si="121"/>
        <v>-2269.5986620180015</v>
      </c>
      <c r="BL100" s="50">
        <f t="shared" si="121"/>
        <v>-10710.949074297167</v>
      </c>
      <c r="BM100" s="50">
        <f t="shared" si="121"/>
        <v>-346.9564146299999</v>
      </c>
      <c r="BN100" s="50">
        <f>BN55+BN84+BN99</f>
        <v>3293.4247330516664</v>
      </c>
      <c r="BO100" s="93">
        <f>BN100+BM100+BL100+BK100+BJ100+BI100+BH100+BG100+BF100+BE100+BD100+BC100</f>
        <v>27499.030398032</v>
      </c>
      <c r="BP100" s="50">
        <f aca="true" t="shared" si="122" ref="BP100:CA100">BP55+BP84+BP99</f>
        <v>34116.54623401164</v>
      </c>
      <c r="BQ100" s="50">
        <f t="shared" si="122"/>
        <v>12331.323153696663</v>
      </c>
      <c r="BR100" s="50">
        <f t="shared" si="122"/>
        <v>8879.40660133533</v>
      </c>
      <c r="BS100" s="50">
        <f t="shared" si="122"/>
        <v>-8280.861658226728</v>
      </c>
      <c r="BT100" s="50">
        <f t="shared" si="122"/>
        <v>12347.429031258333</v>
      </c>
      <c r="BU100" s="50">
        <f t="shared" si="122"/>
        <v>-210.5547123080014</v>
      </c>
      <c r="BV100" s="50">
        <f t="shared" si="122"/>
        <v>-7250.83192960067</v>
      </c>
      <c r="BW100" s="50">
        <f t="shared" si="122"/>
        <v>-3734.8643994260005</v>
      </c>
      <c r="BX100" s="50">
        <f t="shared" si="122"/>
        <v>-1699.5934163569996</v>
      </c>
      <c r="BY100" s="50">
        <f t="shared" si="122"/>
        <v>-10109.362872053169</v>
      </c>
      <c r="BZ100" s="50">
        <f t="shared" si="122"/>
        <v>-346.9564146299999</v>
      </c>
      <c r="CA100" s="50">
        <f t="shared" si="122"/>
        <v>3293.4247330516664</v>
      </c>
      <c r="CB100" s="93">
        <f>CA100+BZ100+BY100+BX100+BW100+BV100+BU100+BT100+BS100+BR100+BQ100+BP100</f>
        <v>39335.104350752066</v>
      </c>
      <c r="CC100" s="50">
        <f aca="true" t="shared" si="123" ref="CC100:CN100">CC55+CC84+CC99</f>
        <v>35052.45548919629</v>
      </c>
      <c r="CD100" s="50">
        <f t="shared" si="123"/>
        <v>12331.323153696663</v>
      </c>
      <c r="CE100" s="50">
        <f t="shared" si="123"/>
        <v>8879.40660133533</v>
      </c>
      <c r="CF100" s="50">
        <f t="shared" si="123"/>
        <v>-7771.872611643652</v>
      </c>
      <c r="CG100" s="50">
        <f t="shared" si="123"/>
        <v>11097.429031258333</v>
      </c>
      <c r="CH100" s="50">
        <f t="shared" si="123"/>
        <v>-210.5547123080014</v>
      </c>
      <c r="CI100" s="50">
        <f t="shared" si="123"/>
        <v>-6554.661032546381</v>
      </c>
      <c r="CJ100" s="50">
        <f t="shared" si="123"/>
        <v>-3734.8643994260005</v>
      </c>
      <c r="CK100" s="50">
        <f t="shared" si="123"/>
        <v>-2199.1779719930014</v>
      </c>
      <c r="CL100" s="50">
        <f t="shared" si="123"/>
        <v>-8799.908097539168</v>
      </c>
      <c r="CM100" s="50">
        <f t="shared" si="123"/>
        <v>-431.23901940500014</v>
      </c>
      <c r="CN100" s="50">
        <f t="shared" si="123"/>
        <v>3293.4247330516664</v>
      </c>
      <c r="CO100" s="93">
        <f>CN100+CM100+CL100+CK100+CJ100+CI100+CH100+CG100+CF100+CE100+CD100+CC100</f>
        <v>40951.761163677074</v>
      </c>
      <c r="CP100" s="50">
        <f aca="true" t="shared" si="124" ref="CP100:DA100">CP55+CP84+CP99</f>
        <v>33839.66300882631</v>
      </c>
      <c r="CQ100" s="50">
        <f t="shared" si="124"/>
        <v>12331.323153696663</v>
      </c>
      <c r="CR100" s="50">
        <f t="shared" si="124"/>
        <v>8879.40660133533</v>
      </c>
      <c r="CS100" s="50">
        <f t="shared" si="124"/>
        <v>-6838.379374669661</v>
      </c>
      <c r="CT100" s="50">
        <f t="shared" si="124"/>
        <v>2667.4290312583325</v>
      </c>
      <c r="CU100" s="50">
        <f t="shared" si="124"/>
        <v>-772.2757044440004</v>
      </c>
      <c r="CV100" s="50">
        <f t="shared" si="124"/>
        <v>-5282.019607246097</v>
      </c>
      <c r="CW100" s="50">
        <f t="shared" si="124"/>
        <v>-3817.5286275760004</v>
      </c>
      <c r="CX100" s="50">
        <f t="shared" si="124"/>
        <v>-585.8446386596684</v>
      </c>
      <c r="CY100" s="50">
        <f t="shared" si="124"/>
        <v>-8714.364891699668</v>
      </c>
      <c r="CZ100" s="50">
        <f t="shared" si="124"/>
        <v>317.9137580025017</v>
      </c>
      <c r="DA100" s="50">
        <f t="shared" si="124"/>
        <v>3187.373520076668</v>
      </c>
      <c r="DB100" s="93">
        <f>DA100+CZ100+CY100+CX100+CW100+CV100+CU100+CT100+CS100+CR100+CQ100+CP100</f>
        <v>35212.69622890071</v>
      </c>
      <c r="DC100" s="50">
        <f aca="true" t="shared" si="125" ref="DC100:DN100">DC55+DC84+DC99</f>
        <v>32210.397379619884</v>
      </c>
      <c r="DD100" s="50">
        <f t="shared" si="125"/>
        <v>12331.323153696663</v>
      </c>
      <c r="DE100" s="50">
        <f t="shared" si="125"/>
        <v>8879.40660133533</v>
      </c>
      <c r="DF100" s="50">
        <f t="shared" si="125"/>
        <v>-6052.031994278375</v>
      </c>
      <c r="DG100" s="50">
        <f t="shared" si="125"/>
        <v>7507.4290312583325</v>
      </c>
      <c r="DH100" s="50">
        <f t="shared" si="125"/>
        <v>-772.2757044440004</v>
      </c>
      <c r="DI100" s="50">
        <f t="shared" si="125"/>
        <v>-4821.525211314667</v>
      </c>
      <c r="DJ100" s="50">
        <f t="shared" si="125"/>
        <v>-3817.5286275760004</v>
      </c>
      <c r="DK100" s="50">
        <f t="shared" si="125"/>
        <v>-1392.5113053263349</v>
      </c>
      <c r="DL100" s="50">
        <f t="shared" si="125"/>
        <v>-8071.051637034752</v>
      </c>
      <c r="DM100" s="50">
        <f t="shared" si="125"/>
        <v>-346.9564146299999</v>
      </c>
      <c r="DN100" s="50">
        <f t="shared" si="125"/>
        <v>3293.6366441716673</v>
      </c>
      <c r="DO100" s="93">
        <f>DN100+DM100+DL100+DK100+DJ100+DI100+DH100+DG100+DF100+DE100+DD100+DC100</f>
        <v>38948.311915477745</v>
      </c>
      <c r="DP100" s="50">
        <f t="shared" si="121"/>
        <v>30950.275276749875</v>
      </c>
      <c r="DQ100" s="50">
        <f t="shared" si="121"/>
        <v>12331.323153696663</v>
      </c>
      <c r="DR100" s="50">
        <f t="shared" si="121"/>
        <v>9467.232860421329</v>
      </c>
      <c r="DS100" s="50">
        <f t="shared" si="121"/>
        <v>-5406.340217341574</v>
      </c>
      <c r="DT100" s="50">
        <f t="shared" si="121"/>
        <v>12347.429031258333</v>
      </c>
      <c r="DU100" s="50">
        <f t="shared" si="121"/>
        <v>-772.2757044440004</v>
      </c>
      <c r="DV100" s="50">
        <f t="shared" si="121"/>
        <v>-4760.577713253526</v>
      </c>
      <c r="DW100" s="50">
        <f t="shared" si="121"/>
        <v>-3283.5082360400006</v>
      </c>
      <c r="DX100" s="50">
        <f t="shared" si="121"/>
        <v>-2269.5986620180015</v>
      </c>
      <c r="DY100" s="50">
        <f t="shared" si="121"/>
        <v>-7618.266357279166</v>
      </c>
      <c r="DZ100" s="50">
        <f t="shared" si="121"/>
        <v>-346.9564146299999</v>
      </c>
      <c r="EA100" s="50">
        <f t="shared" si="121"/>
        <v>3293.4247330516664</v>
      </c>
      <c r="EB100" s="93">
        <f>EA100+DZ100+DY100+DX100+DW100+DV100+DU100+DT100+DS100+DR100+DQ100+DP100</f>
        <v>43932.161750171595</v>
      </c>
      <c r="EC100" s="50">
        <f t="shared" si="121"/>
        <v>29683.895010684988</v>
      </c>
      <c r="ED100" s="50">
        <f t="shared" si="121"/>
        <v>12331.323153696663</v>
      </c>
      <c r="EE100" s="50">
        <f t="shared" si="121"/>
        <v>9467.232860421329</v>
      </c>
      <c r="EF100" s="50">
        <f t="shared" si="121"/>
        <v>-4530.974727718596</v>
      </c>
      <c r="EG100" s="50">
        <f t="shared" si="121"/>
        <v>12347.429031258333</v>
      </c>
      <c r="EH100" s="50">
        <f t="shared" si="121"/>
        <v>-772.2757044440004</v>
      </c>
      <c r="EI100" s="50">
        <f t="shared" si="121"/>
        <v>-4066.33880842781</v>
      </c>
      <c r="EJ100" s="50">
        <f t="shared" si="121"/>
        <v>-3734.8643994260005</v>
      </c>
      <c r="EK100" s="50">
        <f t="shared" si="121"/>
        <v>-1699.5934163569996</v>
      </c>
      <c r="EL100" s="50">
        <f t="shared" si="121"/>
        <v>-7006.685318235166</v>
      </c>
      <c r="EM100" s="50">
        <f t="shared" si="121"/>
        <v>-346.9564146299999</v>
      </c>
      <c r="EN100" s="50">
        <f t="shared" si="121"/>
        <v>3293.4247330516664</v>
      </c>
      <c r="EO100" s="93">
        <f>EN100+EM100+EL100+EK100+EJ100+EI100+EH100+EG100+EF100+EE100+ED100+EC100</f>
        <v>44965.615999874404</v>
      </c>
      <c r="EP100" s="50">
        <f t="shared" si="121"/>
        <v>28111.048255126145</v>
      </c>
      <c r="EQ100" s="50">
        <f t="shared" si="121"/>
        <v>12331.323153696663</v>
      </c>
      <c r="ER100" s="50">
        <f t="shared" si="121"/>
        <v>8879.40660133533</v>
      </c>
      <c r="ES100" s="50">
        <f t="shared" si="121"/>
        <v>-3876.555549409626</v>
      </c>
      <c r="ET100" s="50">
        <f t="shared" si="121"/>
        <v>11097.429031258333</v>
      </c>
      <c r="EU100" s="50">
        <f t="shared" si="121"/>
        <v>-210.5547123080014</v>
      </c>
      <c r="EV100" s="50">
        <f t="shared" si="121"/>
        <v>-3482.069610552096</v>
      </c>
      <c r="EW100" s="50">
        <f t="shared" si="121"/>
        <v>-3734.8643994260005</v>
      </c>
      <c r="EX100" s="50">
        <f t="shared" si="121"/>
        <v>-1751.7205151570001</v>
      </c>
      <c r="EY100" s="50">
        <f t="shared" si="121"/>
        <v>-6477.774899799166</v>
      </c>
      <c r="EZ100" s="50">
        <f t="shared" si="121"/>
        <v>-525.6778962300014</v>
      </c>
      <c r="FA100" s="50">
        <f t="shared" si="121"/>
        <v>3070.0228810516637</v>
      </c>
      <c r="FB100" s="93">
        <f>FA100+EZ100+EY100+EX100+EW100+EV100+EU100+ET100+ES100+ER100+EQ100+EP100</f>
        <v>43430.01233958625</v>
      </c>
      <c r="FC100" s="50">
        <f t="shared" si="121"/>
        <v>26868.323818893536</v>
      </c>
      <c r="FD100" s="50">
        <f t="shared" si="121"/>
        <v>12331.323153696663</v>
      </c>
      <c r="FE100" s="50">
        <f t="shared" si="121"/>
        <v>8879.40660133533</v>
      </c>
      <c r="FF100" s="50">
        <f t="shared" si="121"/>
        <v>-2457.9118592381055</v>
      </c>
      <c r="FG100" s="50">
        <f t="shared" si="121"/>
        <v>2667.4290312583325</v>
      </c>
      <c r="FH100" s="50">
        <f t="shared" si="121"/>
        <v>-210.5547123080014</v>
      </c>
      <c r="FI100" s="50">
        <f t="shared" si="121"/>
        <v>-2850.5062406578104</v>
      </c>
      <c r="FJ100" s="50">
        <f t="shared" si="121"/>
        <v>-3734.8643994260005</v>
      </c>
      <c r="FK100" s="50">
        <f t="shared" si="121"/>
        <v>-585.8446386596684</v>
      </c>
      <c r="FL100" s="50">
        <f t="shared" si="121"/>
        <v>-5138.391430687168</v>
      </c>
      <c r="FM100" s="50">
        <f t="shared" si="121"/>
        <v>-431.23901940500014</v>
      </c>
      <c r="FN100" s="50">
        <f t="shared" si="121"/>
        <v>3293.4247330516664</v>
      </c>
      <c r="FO100" s="93">
        <f>FN100+FM100+FL100+FK100+FJ100+FI100+FH100+FG100+FF100+FE100+FD100+FC100</f>
        <v>38630.595037853775</v>
      </c>
      <c r="FP100" s="50">
        <f t="shared" si="121"/>
        <v>14974.675305863331</v>
      </c>
      <c r="FQ100" s="50">
        <f t="shared" si="121"/>
        <v>-387543.67684630334</v>
      </c>
      <c r="FR100" s="50">
        <f t="shared" si="121"/>
        <v>8879.40660133533</v>
      </c>
      <c r="FS100" s="50">
        <f t="shared" si="121"/>
        <v>-2208.4299306777393</v>
      </c>
      <c r="FT100" s="50">
        <f t="shared" si="121"/>
        <v>7507.4290312583325</v>
      </c>
      <c r="FU100" s="50">
        <f t="shared" si="121"/>
        <v>-772.2757044440004</v>
      </c>
      <c r="FV100" s="50">
        <f t="shared" si="121"/>
        <v>-1923.4388566975244</v>
      </c>
      <c r="FW100" s="50">
        <f t="shared" si="121"/>
        <v>-3817.5286275760004</v>
      </c>
      <c r="FX100" s="50">
        <f t="shared" si="121"/>
        <v>-1392.5113053263349</v>
      </c>
      <c r="FY100" s="50">
        <f t="shared" si="121"/>
        <v>-5367.201260877666</v>
      </c>
      <c r="FZ100" s="50">
        <f t="shared" si="121"/>
        <v>317.9137580025017</v>
      </c>
      <c r="GA100" s="50">
        <f t="shared" si="121"/>
        <v>3187.373520076668</v>
      </c>
      <c r="GB100" s="93">
        <f>GA100+FZ100+FY100+FX100+FW100+FV100+FU100+FT100+FS100+FR100+FQ100+FP100</f>
        <v>-368158.26431536645</v>
      </c>
      <c r="GC100" s="50">
        <f aca="true" t="shared" si="126" ref="GC100:GN100">GC55+GC84+GC99</f>
        <v>24198.546844463544</v>
      </c>
      <c r="GD100" s="50">
        <f t="shared" si="126"/>
        <v>12331.323153696663</v>
      </c>
      <c r="GE100" s="50">
        <f t="shared" si="126"/>
        <v>8879.40660133533</v>
      </c>
      <c r="GF100" s="50">
        <f t="shared" si="126"/>
        <v>-2617.6798168921086</v>
      </c>
      <c r="GG100" s="50">
        <f t="shared" si="126"/>
        <v>12347.429031258333</v>
      </c>
      <c r="GH100" s="50">
        <f t="shared" si="126"/>
        <v>-772.2757044440004</v>
      </c>
      <c r="GI100" s="50">
        <f t="shared" si="126"/>
        <v>-2778.7650192220203</v>
      </c>
      <c r="GJ100" s="50">
        <f t="shared" si="126"/>
        <v>-3283.5082360400006</v>
      </c>
      <c r="GK100" s="50">
        <f t="shared" si="126"/>
        <v>-2269.5986620180015</v>
      </c>
      <c r="GL100" s="50">
        <f t="shared" si="126"/>
        <v>-5218.889208087667</v>
      </c>
      <c r="GM100" s="50">
        <f t="shared" si="126"/>
        <v>-346.9564146299999</v>
      </c>
      <c r="GN100" s="50">
        <f t="shared" si="126"/>
        <v>3293.6366441716673</v>
      </c>
      <c r="GO100" s="93">
        <f>GN100+GM100+GL100+GK100+GJ100+GI100+GH100+GG100+GF100+GE100+GD100+GC100</f>
        <v>43762.66921359174</v>
      </c>
      <c r="GP100" s="50">
        <f aca="true" t="shared" si="127" ref="GP100:HA100">GP55+GP84+GP99</f>
        <v>24936.0618676964</v>
      </c>
      <c r="GQ100" s="50">
        <f t="shared" si="127"/>
        <v>12331.323153696663</v>
      </c>
      <c r="GR100" s="50">
        <f t="shared" si="127"/>
        <v>9467.232860421329</v>
      </c>
      <c r="GS100" s="50">
        <f t="shared" si="127"/>
        <v>-2855.5715196658784</v>
      </c>
      <c r="GT100" s="50">
        <f t="shared" si="127"/>
        <v>12347.429031258333</v>
      </c>
      <c r="GU100" s="50">
        <f t="shared" si="127"/>
        <v>-772.2757044440004</v>
      </c>
      <c r="GV100" s="50">
        <f t="shared" si="127"/>
        <v>-2631.3357155386934</v>
      </c>
      <c r="GW100" s="50">
        <f t="shared" si="127"/>
        <v>-3283.5082360400006</v>
      </c>
      <c r="GX100" s="50">
        <f t="shared" si="127"/>
        <v>-2269.5986620180015</v>
      </c>
      <c r="GY100" s="50">
        <f t="shared" si="127"/>
        <v>-5087.112585923667</v>
      </c>
      <c r="GZ100" s="50">
        <f t="shared" si="127"/>
        <v>-346.9564146299999</v>
      </c>
      <c r="HA100" s="50">
        <f t="shared" si="127"/>
        <v>3293.6366441716673</v>
      </c>
      <c r="HB100" s="93">
        <f>HA100+GZ100+GY100+GX100+GW100+GV100+GU100+GT100+GS100+GR100+GQ100+GP100</f>
        <v>45129.32471898415</v>
      </c>
      <c r="HC100" s="50">
        <f t="shared" si="115"/>
        <v>100488.14517759363</v>
      </c>
      <c r="HD100" s="50"/>
      <c r="HE100" s="50"/>
      <c r="HF100" s="50"/>
      <c r="HG100" s="50"/>
      <c r="HH100" s="50"/>
      <c r="HI100" s="50"/>
      <c r="HJ100" s="50"/>
      <c r="HK100" s="50"/>
      <c r="HL100" s="50"/>
      <c r="HM100" s="50"/>
      <c r="HN100" s="50"/>
      <c r="HO100" s="93"/>
      <c r="HP100" s="50"/>
      <c r="HQ100" s="50"/>
      <c r="HR100" s="50"/>
      <c r="HS100" s="50"/>
      <c r="HT100" s="50"/>
      <c r="HU100" s="50"/>
      <c r="HV100" s="50"/>
      <c r="HW100" s="50"/>
      <c r="HX100" s="50"/>
      <c r="HY100" s="50"/>
      <c r="HZ100" s="50"/>
      <c r="IA100" s="50"/>
      <c r="IB100" s="93"/>
      <c r="IC100" s="50"/>
      <c r="ID100" s="50"/>
      <c r="IE100" s="50"/>
      <c r="IF100" s="50"/>
      <c r="IG100" s="50"/>
      <c r="IH100" s="50"/>
      <c r="II100" s="50"/>
      <c r="IJ100" s="50"/>
      <c r="IK100" s="50"/>
      <c r="IL100" s="50"/>
      <c r="IM100" s="50"/>
      <c r="IN100" s="50"/>
      <c r="IO100" s="93"/>
      <c r="IP100" s="50"/>
      <c r="IQ100" s="50"/>
      <c r="IR100" s="50"/>
      <c r="IS100" s="50"/>
      <c r="IT100" s="50"/>
      <c r="IU100" s="50"/>
      <c r="IV100" s="50"/>
    </row>
    <row r="101" spans="1:256" s="51" customFormat="1" ht="14.25">
      <c r="A101" s="48"/>
      <c r="B101" s="106" t="s">
        <v>422</v>
      </c>
      <c r="C101" s="58"/>
      <c r="D101" s="58"/>
      <c r="E101" s="58"/>
      <c r="F101" s="58"/>
      <c r="G101" s="58"/>
      <c r="H101" s="58"/>
      <c r="I101" s="58"/>
      <c r="J101" s="58"/>
      <c r="K101" s="58">
        <f>K100</f>
        <v>388515.70999868</v>
      </c>
      <c r="L101" s="58">
        <f>K101+L100</f>
        <v>388089.98049736</v>
      </c>
      <c r="M101" s="58">
        <f>L101+M100</f>
        <v>387613.99934712664</v>
      </c>
      <c r="N101" s="58">
        <f>M101+N100</f>
        <v>387152.6621374133</v>
      </c>
      <c r="O101" s="107">
        <f>N101</f>
        <v>387152.6621374133</v>
      </c>
      <c r="P101" s="58">
        <f>O101+P100</f>
        <v>386673.59930276</v>
      </c>
      <c r="Q101" s="58">
        <f>P101+Q100</f>
        <v>386194.5364681067</v>
      </c>
      <c r="R101" s="58">
        <f aca="true" t="shared" si="128" ref="R101:AA101">Q101+R100</f>
        <v>385718.5553178733</v>
      </c>
      <c r="S101" s="58">
        <f t="shared" si="128"/>
        <v>385257.21810815996</v>
      </c>
      <c r="T101" s="58">
        <f t="shared" si="128"/>
        <v>383578.7291008466</v>
      </c>
      <c r="U101" s="58">
        <f t="shared" si="128"/>
        <v>383150.2400935333</v>
      </c>
      <c r="V101" s="58">
        <f t="shared" si="128"/>
        <v>382721.75108621997</v>
      </c>
      <c r="W101" s="58">
        <f t="shared" si="128"/>
        <v>370485.39247890667</v>
      </c>
      <c r="X101" s="58">
        <f t="shared" si="128"/>
        <v>306056.41068380664</v>
      </c>
      <c r="Y101" s="58">
        <f t="shared" si="128"/>
        <v>304901.77361926995</v>
      </c>
      <c r="Z101" s="58">
        <f t="shared" si="128"/>
        <v>303698.29329416994</v>
      </c>
      <c r="AA101" s="58">
        <f t="shared" si="128"/>
        <v>302494.8129690699</v>
      </c>
      <c r="AB101" s="107">
        <f>AA101</f>
        <v>302494.8129690699</v>
      </c>
      <c r="AC101" s="58">
        <f aca="true" t="shared" si="129" ref="AC101:AN101">AB101+AC100</f>
        <v>301231.7844302476</v>
      </c>
      <c r="AD101" s="58">
        <f t="shared" si="129"/>
        <v>299977.7302778076</v>
      </c>
      <c r="AE101" s="58">
        <f t="shared" si="129"/>
        <v>298726.75780978764</v>
      </c>
      <c r="AF101" s="58">
        <f t="shared" si="129"/>
        <v>297450.06716204266</v>
      </c>
      <c r="AG101" s="58">
        <f t="shared" si="129"/>
        <v>282948.58683694265</v>
      </c>
      <c r="AH101" s="58">
        <f t="shared" si="129"/>
        <v>281745.10651184263</v>
      </c>
      <c r="AI101" s="58">
        <f t="shared" si="129"/>
        <v>280511.8450219855</v>
      </c>
      <c r="AJ101" s="58">
        <f t="shared" si="129"/>
        <v>199074.6465205655</v>
      </c>
      <c r="AK101" s="58">
        <f t="shared" si="129"/>
        <v>113569.3961452535</v>
      </c>
      <c r="AL101" s="58">
        <f t="shared" si="129"/>
        <v>110804.42141262816</v>
      </c>
      <c r="AM101" s="58">
        <f t="shared" si="129"/>
        <v>110779.80067990816</v>
      </c>
      <c r="AN101" s="58">
        <f t="shared" si="129"/>
        <v>111120.36306320816</v>
      </c>
      <c r="AO101" s="107">
        <f>AN101</f>
        <v>111120.36306320816</v>
      </c>
      <c r="AP101" s="58">
        <f>AN101+AP100</f>
        <v>114850.50182482981</v>
      </c>
      <c r="AQ101" s="58">
        <f aca="true" t="shared" si="130" ref="AQ101:BA101">AP101+AQ100</f>
        <v>120728.06986521248</v>
      </c>
      <c r="AR101" s="58">
        <f t="shared" si="130"/>
        <v>126015.06147254449</v>
      </c>
      <c r="AS101" s="58">
        <f t="shared" si="130"/>
        <v>123083.13462099622</v>
      </c>
      <c r="AT101" s="58">
        <f t="shared" si="130"/>
        <v>121578.89550298122</v>
      </c>
      <c r="AU101" s="58">
        <f t="shared" si="130"/>
        <v>120635.7196683719</v>
      </c>
      <c r="AV101" s="58">
        <f t="shared" si="130"/>
        <v>115685.49635988989</v>
      </c>
      <c r="AW101" s="58">
        <f t="shared" si="130"/>
        <v>-0.05618777411291376</v>
      </c>
      <c r="AX101" s="58">
        <f>AW101+AX100</f>
        <v>31209.312755847226</v>
      </c>
      <c r="AY101" s="58">
        <f t="shared" si="130"/>
        <v>23933.424981063894</v>
      </c>
      <c r="AZ101" s="58">
        <f t="shared" si="130"/>
        <v>23574.825813089894</v>
      </c>
      <c r="BA101" s="58">
        <f t="shared" si="130"/>
        <v>26849.12637605856</v>
      </c>
      <c r="BB101" s="107">
        <f>BA101</f>
        <v>26849.12637605856</v>
      </c>
      <c r="BC101" s="58">
        <f>BA101+BC100</f>
        <v>48890.37622286625</v>
      </c>
      <c r="BD101" s="58">
        <f aca="true" t="shared" si="131" ref="BD101:BN101">BC101+BD100</f>
        <v>61221.699376562916</v>
      </c>
      <c r="BE101" s="58">
        <f t="shared" si="131"/>
        <v>70688.93223698424</v>
      </c>
      <c r="BF101" s="58">
        <f t="shared" si="131"/>
        <v>63959.354388646105</v>
      </c>
      <c r="BG101" s="58">
        <f t="shared" si="131"/>
        <v>76306.78341990444</v>
      </c>
      <c r="BH101" s="58">
        <f t="shared" si="131"/>
        <v>75534.50771546044</v>
      </c>
      <c r="BI101" s="58">
        <f t="shared" si="131"/>
        <v>67665.74442802406</v>
      </c>
      <c r="BJ101" s="58">
        <f t="shared" si="131"/>
        <v>64382.23619198406</v>
      </c>
      <c r="BK101" s="58">
        <f t="shared" si="131"/>
        <v>62112.63752996606</v>
      </c>
      <c r="BL101" s="58">
        <f t="shared" si="131"/>
        <v>51401.68845566889</v>
      </c>
      <c r="BM101" s="58">
        <f t="shared" si="131"/>
        <v>51054.73204103889</v>
      </c>
      <c r="BN101" s="58">
        <f t="shared" si="131"/>
        <v>54348.15677409056</v>
      </c>
      <c r="BO101" s="107">
        <f>BN101</f>
        <v>54348.15677409056</v>
      </c>
      <c r="BP101" s="58">
        <f>BN101+BP100</f>
        <v>88464.7030081022</v>
      </c>
      <c r="BQ101" s="58">
        <f aca="true" t="shared" si="132" ref="BQ101:CA101">BP101+BQ100</f>
        <v>100796.02616179886</v>
      </c>
      <c r="BR101" s="58">
        <f t="shared" si="132"/>
        <v>109675.43276313419</v>
      </c>
      <c r="BS101" s="58">
        <f t="shared" si="132"/>
        <v>101394.57110490746</v>
      </c>
      <c r="BT101" s="58">
        <f t="shared" si="132"/>
        <v>113742.00013616579</v>
      </c>
      <c r="BU101" s="58">
        <f t="shared" si="132"/>
        <v>113531.44542385779</v>
      </c>
      <c r="BV101" s="58">
        <f t="shared" si="132"/>
        <v>106280.61349425712</v>
      </c>
      <c r="BW101" s="58">
        <f t="shared" si="132"/>
        <v>102545.74909483112</v>
      </c>
      <c r="BX101" s="58">
        <f t="shared" si="132"/>
        <v>100846.15567847411</v>
      </c>
      <c r="BY101" s="58">
        <f t="shared" si="132"/>
        <v>90736.79280642094</v>
      </c>
      <c r="BZ101" s="58">
        <f t="shared" si="132"/>
        <v>90389.83639179094</v>
      </c>
      <c r="CA101" s="58">
        <f t="shared" si="132"/>
        <v>93683.26112484261</v>
      </c>
      <c r="CB101" s="107">
        <f>CA101</f>
        <v>93683.26112484261</v>
      </c>
      <c r="CC101" s="58">
        <f>CA101+CC100</f>
        <v>128735.7166140389</v>
      </c>
      <c r="CD101" s="58">
        <f aca="true" t="shared" si="133" ref="CD101:CN101">CC101+CD100</f>
        <v>141067.03976773558</v>
      </c>
      <c r="CE101" s="58">
        <f t="shared" si="133"/>
        <v>149946.4463690709</v>
      </c>
      <c r="CF101" s="58">
        <f t="shared" si="133"/>
        <v>142174.57375742725</v>
      </c>
      <c r="CG101" s="58">
        <f t="shared" si="133"/>
        <v>153272.00278868558</v>
      </c>
      <c r="CH101" s="58">
        <f t="shared" si="133"/>
        <v>153061.4480763776</v>
      </c>
      <c r="CI101" s="58">
        <f t="shared" si="133"/>
        <v>146506.78704383122</v>
      </c>
      <c r="CJ101" s="58">
        <f t="shared" si="133"/>
        <v>142771.92264440522</v>
      </c>
      <c r="CK101" s="58">
        <f t="shared" si="133"/>
        <v>140572.74467241223</v>
      </c>
      <c r="CL101" s="58">
        <f t="shared" si="133"/>
        <v>131772.83657487307</v>
      </c>
      <c r="CM101" s="58">
        <f t="shared" si="133"/>
        <v>131341.59755546806</v>
      </c>
      <c r="CN101" s="58">
        <f t="shared" si="133"/>
        <v>134635.0222885197</v>
      </c>
      <c r="CO101" s="93">
        <f>CN101</f>
        <v>134635.0222885197</v>
      </c>
      <c r="CP101" s="58">
        <f>CN101+CP100</f>
        <v>168474.68529734603</v>
      </c>
      <c r="CQ101" s="58">
        <f aca="true" t="shared" si="134" ref="CQ101:DA101">CP101+CQ100</f>
        <v>180806.0084510427</v>
      </c>
      <c r="CR101" s="58">
        <f t="shared" si="134"/>
        <v>189685.41505237803</v>
      </c>
      <c r="CS101" s="58">
        <f t="shared" si="134"/>
        <v>182847.03567770837</v>
      </c>
      <c r="CT101" s="58">
        <f t="shared" si="134"/>
        <v>185514.4647089667</v>
      </c>
      <c r="CU101" s="58">
        <f t="shared" si="134"/>
        <v>184742.1890045227</v>
      </c>
      <c r="CV101" s="58">
        <f t="shared" si="134"/>
        <v>179460.1693972766</v>
      </c>
      <c r="CW101" s="58">
        <f t="shared" si="134"/>
        <v>175642.6407697006</v>
      </c>
      <c r="CX101" s="58">
        <f t="shared" si="134"/>
        <v>175056.79613104093</v>
      </c>
      <c r="CY101" s="58">
        <f t="shared" si="134"/>
        <v>166342.43123934127</v>
      </c>
      <c r="CZ101" s="58">
        <f t="shared" si="134"/>
        <v>166660.34499734378</v>
      </c>
      <c r="DA101" s="58">
        <f t="shared" si="134"/>
        <v>169847.71851742046</v>
      </c>
      <c r="DB101" s="107">
        <f>DA101</f>
        <v>169847.71851742046</v>
      </c>
      <c r="DC101" s="58">
        <f>DA101+DC100</f>
        <v>202058.11589704035</v>
      </c>
      <c r="DD101" s="58">
        <f aca="true" t="shared" si="135" ref="DD101:DN101">DC101+DD100</f>
        <v>214389.439050737</v>
      </c>
      <c r="DE101" s="58">
        <f t="shared" si="135"/>
        <v>223268.84565207234</v>
      </c>
      <c r="DF101" s="58">
        <f t="shared" si="135"/>
        <v>217216.81365779397</v>
      </c>
      <c r="DG101" s="58">
        <f t="shared" si="135"/>
        <v>224724.2426890523</v>
      </c>
      <c r="DH101" s="58">
        <f t="shared" si="135"/>
        <v>223951.9669846083</v>
      </c>
      <c r="DI101" s="58">
        <f t="shared" si="135"/>
        <v>219130.44177329363</v>
      </c>
      <c r="DJ101" s="58">
        <f t="shared" si="135"/>
        <v>215312.91314571764</v>
      </c>
      <c r="DK101" s="58">
        <f t="shared" si="135"/>
        <v>213920.4018403913</v>
      </c>
      <c r="DL101" s="58">
        <f t="shared" si="135"/>
        <v>205849.35020335656</v>
      </c>
      <c r="DM101" s="58">
        <f t="shared" si="135"/>
        <v>205502.39378872656</v>
      </c>
      <c r="DN101" s="58">
        <f t="shared" si="135"/>
        <v>208796.03043289823</v>
      </c>
      <c r="DO101" s="107">
        <f>DN101</f>
        <v>208796.03043289823</v>
      </c>
      <c r="DP101" s="58">
        <f>DN101+DP100</f>
        <v>239746.30570964812</v>
      </c>
      <c r="DQ101" s="58">
        <f aca="true" t="shared" si="136" ref="DQ101:EA101">DP101+DQ100</f>
        <v>252077.62886334478</v>
      </c>
      <c r="DR101" s="58">
        <f t="shared" si="136"/>
        <v>261544.8617237661</v>
      </c>
      <c r="DS101" s="58">
        <f t="shared" si="136"/>
        <v>256138.52150642453</v>
      </c>
      <c r="DT101" s="58">
        <f t="shared" si="136"/>
        <v>268485.95053768286</v>
      </c>
      <c r="DU101" s="58">
        <f t="shared" si="136"/>
        <v>267713.6748332389</v>
      </c>
      <c r="DV101" s="58">
        <f t="shared" si="136"/>
        <v>262953.0971199854</v>
      </c>
      <c r="DW101" s="58">
        <f t="shared" si="136"/>
        <v>259669.58888394537</v>
      </c>
      <c r="DX101" s="58">
        <f t="shared" si="136"/>
        <v>257399.99022192738</v>
      </c>
      <c r="DY101" s="58">
        <f t="shared" si="136"/>
        <v>249781.7238646482</v>
      </c>
      <c r="DZ101" s="58">
        <f t="shared" si="136"/>
        <v>249434.7674500182</v>
      </c>
      <c r="EA101" s="58">
        <f t="shared" si="136"/>
        <v>252728.19218306988</v>
      </c>
      <c r="EB101" s="107">
        <f>EA101</f>
        <v>252728.19218306988</v>
      </c>
      <c r="EC101" s="58">
        <f>EA101+EC100</f>
        <v>282412.08719375485</v>
      </c>
      <c r="ED101" s="58">
        <f aca="true" t="shared" si="137" ref="ED101:EN101">EC101+ED100</f>
        <v>294743.4103474515</v>
      </c>
      <c r="EE101" s="58">
        <f t="shared" si="137"/>
        <v>304210.64320787287</v>
      </c>
      <c r="EF101" s="58">
        <f t="shared" si="137"/>
        <v>299679.66848015424</v>
      </c>
      <c r="EG101" s="58">
        <f t="shared" si="137"/>
        <v>312027.0975114126</v>
      </c>
      <c r="EH101" s="58">
        <f t="shared" si="137"/>
        <v>311254.8218069686</v>
      </c>
      <c r="EI101" s="58">
        <f t="shared" si="137"/>
        <v>307188.4829985408</v>
      </c>
      <c r="EJ101" s="58">
        <f t="shared" si="137"/>
        <v>303453.6185991148</v>
      </c>
      <c r="EK101" s="58">
        <f t="shared" si="137"/>
        <v>301754.0251827578</v>
      </c>
      <c r="EL101" s="58">
        <f t="shared" si="137"/>
        <v>294747.3398645226</v>
      </c>
      <c r="EM101" s="58">
        <f t="shared" si="137"/>
        <v>294400.38344989263</v>
      </c>
      <c r="EN101" s="58">
        <f t="shared" si="137"/>
        <v>297693.8081829443</v>
      </c>
      <c r="EO101" s="107">
        <f>EN101</f>
        <v>297693.8081829443</v>
      </c>
      <c r="EP101" s="58">
        <f>EN101+EP100</f>
        <v>325804.8564380705</v>
      </c>
      <c r="EQ101" s="58">
        <f aca="true" t="shared" si="138" ref="EQ101:FA101">EP101+EQ100</f>
        <v>338136.17959176714</v>
      </c>
      <c r="ER101" s="58">
        <f t="shared" si="138"/>
        <v>347015.58619310247</v>
      </c>
      <c r="ES101" s="58">
        <f t="shared" si="138"/>
        <v>343139.0306436928</v>
      </c>
      <c r="ET101" s="58">
        <f t="shared" si="138"/>
        <v>354236.45967495115</v>
      </c>
      <c r="EU101" s="58">
        <f t="shared" si="138"/>
        <v>354025.90496264317</v>
      </c>
      <c r="EV101" s="58">
        <f t="shared" si="138"/>
        <v>350543.83535209106</v>
      </c>
      <c r="EW101" s="58">
        <f t="shared" si="138"/>
        <v>346808.9709526651</v>
      </c>
      <c r="EX101" s="58">
        <f t="shared" si="138"/>
        <v>345057.2504375081</v>
      </c>
      <c r="EY101" s="58">
        <f t="shared" si="138"/>
        <v>338579.47553770896</v>
      </c>
      <c r="EZ101" s="58">
        <f t="shared" si="138"/>
        <v>338053.79764147894</v>
      </c>
      <c r="FA101" s="58">
        <f t="shared" si="138"/>
        <v>341123.8205225306</v>
      </c>
      <c r="FB101" s="107">
        <f>FA101</f>
        <v>341123.8205225306</v>
      </c>
      <c r="FC101" s="58">
        <f>FA101+FC100</f>
        <v>367992.1443414241</v>
      </c>
      <c r="FD101" s="58">
        <f aca="true" t="shared" si="139" ref="FD101:FN101">FC101+FD100</f>
        <v>380323.46749512077</v>
      </c>
      <c r="FE101" s="58">
        <f t="shared" si="139"/>
        <v>389202.8740964561</v>
      </c>
      <c r="FF101" s="58">
        <f t="shared" si="139"/>
        <v>386744.962237218</v>
      </c>
      <c r="FG101" s="58">
        <f t="shared" si="139"/>
        <v>389412.3912684763</v>
      </c>
      <c r="FH101" s="58">
        <f t="shared" si="139"/>
        <v>389201.83655616833</v>
      </c>
      <c r="FI101" s="58">
        <f t="shared" si="139"/>
        <v>386351.3303155105</v>
      </c>
      <c r="FJ101" s="58">
        <f t="shared" si="139"/>
        <v>382616.46591608453</v>
      </c>
      <c r="FK101" s="58">
        <f t="shared" si="139"/>
        <v>382030.62127742486</v>
      </c>
      <c r="FL101" s="58">
        <f t="shared" si="139"/>
        <v>376892.2298467377</v>
      </c>
      <c r="FM101" s="58">
        <f t="shared" si="139"/>
        <v>376460.9908273327</v>
      </c>
      <c r="FN101" s="58">
        <f t="shared" si="139"/>
        <v>379754.4155603844</v>
      </c>
      <c r="FO101" s="107">
        <f>FN101</f>
        <v>379754.4155603844</v>
      </c>
      <c r="FP101" s="58">
        <f>FN101+FP100</f>
        <v>394729.0908662477</v>
      </c>
      <c r="FQ101" s="58">
        <f aca="true" t="shared" si="140" ref="FQ101:GA101">FP101+FQ100</f>
        <v>7185.414019944379</v>
      </c>
      <c r="FR101" s="58">
        <f t="shared" si="140"/>
        <v>16064.820621279709</v>
      </c>
      <c r="FS101" s="58">
        <f t="shared" si="140"/>
        <v>13856.39069060197</v>
      </c>
      <c r="FT101" s="58">
        <f t="shared" si="140"/>
        <v>21363.8197218603</v>
      </c>
      <c r="FU101" s="58">
        <f t="shared" si="140"/>
        <v>20591.5440174163</v>
      </c>
      <c r="FV101" s="58">
        <f t="shared" si="140"/>
        <v>18668.105160718776</v>
      </c>
      <c r="FW101" s="58">
        <f t="shared" si="140"/>
        <v>14850.576533142776</v>
      </c>
      <c r="FX101" s="58">
        <f t="shared" si="140"/>
        <v>13458.065227816442</v>
      </c>
      <c r="FY101" s="58">
        <f t="shared" si="140"/>
        <v>8090.863966938776</v>
      </c>
      <c r="FZ101" s="58">
        <f t="shared" si="140"/>
        <v>8408.777724941277</v>
      </c>
      <c r="GA101" s="58">
        <f t="shared" si="140"/>
        <v>11596.151245017945</v>
      </c>
      <c r="GB101" s="93">
        <f>GA101</f>
        <v>11596.151245017945</v>
      </c>
      <c r="GC101" s="58">
        <f>GA101+GC100</f>
        <v>35794.69808948149</v>
      </c>
      <c r="GD101" s="58">
        <f aca="true" t="shared" si="141" ref="GD101:GN101">GC101+GD100</f>
        <v>48126.021243178155</v>
      </c>
      <c r="GE101" s="58">
        <f t="shared" si="141"/>
        <v>57005.427844513484</v>
      </c>
      <c r="GF101" s="58">
        <f t="shared" si="141"/>
        <v>54387.748027621376</v>
      </c>
      <c r="GG101" s="58">
        <f t="shared" si="141"/>
        <v>66735.17705887971</v>
      </c>
      <c r="GH101" s="58">
        <f t="shared" si="141"/>
        <v>65962.90135443571</v>
      </c>
      <c r="GI101" s="58">
        <f t="shared" si="141"/>
        <v>63184.1363352137</v>
      </c>
      <c r="GJ101" s="58">
        <f t="shared" si="141"/>
        <v>59900.6280991737</v>
      </c>
      <c r="GK101" s="58">
        <f t="shared" si="141"/>
        <v>57631.029437155696</v>
      </c>
      <c r="GL101" s="58">
        <f t="shared" si="141"/>
        <v>52412.14022906803</v>
      </c>
      <c r="GM101" s="58">
        <f t="shared" si="141"/>
        <v>52065.18381443803</v>
      </c>
      <c r="GN101" s="58">
        <f t="shared" si="141"/>
        <v>55358.8204586097</v>
      </c>
      <c r="GO101" s="93">
        <f>GN101</f>
        <v>55358.8204586097</v>
      </c>
      <c r="GP101" s="58">
        <f>GN101+GP100</f>
        <v>80294.8823263061</v>
      </c>
      <c r="GQ101" s="58">
        <f aca="true" t="shared" si="142" ref="GQ101:HA101">GP101+GQ100</f>
        <v>92626.20548000277</v>
      </c>
      <c r="GR101" s="58">
        <f t="shared" si="142"/>
        <v>102093.4383404241</v>
      </c>
      <c r="GS101" s="58">
        <f t="shared" si="142"/>
        <v>99237.86682075821</v>
      </c>
      <c r="GT101" s="58">
        <f t="shared" si="142"/>
        <v>111585.29585201654</v>
      </c>
      <c r="GU101" s="58">
        <f t="shared" si="142"/>
        <v>110813.02014757253</v>
      </c>
      <c r="GV101" s="58">
        <f t="shared" si="142"/>
        <v>108181.68443203384</v>
      </c>
      <c r="GW101" s="58">
        <f t="shared" si="142"/>
        <v>104898.17619599384</v>
      </c>
      <c r="GX101" s="58">
        <f t="shared" si="142"/>
        <v>102628.57753397584</v>
      </c>
      <c r="GY101" s="58">
        <f t="shared" si="142"/>
        <v>97541.46494805218</v>
      </c>
      <c r="GZ101" s="58">
        <f t="shared" si="142"/>
        <v>97194.50853342218</v>
      </c>
      <c r="HA101" s="58">
        <f t="shared" si="142"/>
        <v>100488.14517759385</v>
      </c>
      <c r="HB101" s="93">
        <f>HA101</f>
        <v>100488.14517759385</v>
      </c>
      <c r="HC101" s="58">
        <f>HB101</f>
        <v>100488.14517759385</v>
      </c>
      <c r="HD101" s="58"/>
      <c r="HE101" s="58"/>
      <c r="HF101" s="58"/>
      <c r="HG101" s="58"/>
      <c r="HH101" s="58"/>
      <c r="HI101" s="58"/>
      <c r="HJ101" s="58"/>
      <c r="HK101" s="58"/>
      <c r="HL101" s="58"/>
      <c r="HM101" s="58"/>
      <c r="HN101" s="58"/>
      <c r="HO101" s="107"/>
      <c r="HP101" s="58"/>
      <c r="HQ101" s="58"/>
      <c r="HR101" s="58"/>
      <c r="HS101" s="58"/>
      <c r="HT101" s="58"/>
      <c r="HU101" s="58"/>
      <c r="HV101" s="58"/>
      <c r="HW101" s="58"/>
      <c r="HX101" s="58"/>
      <c r="HY101" s="58"/>
      <c r="HZ101" s="58"/>
      <c r="IA101" s="58"/>
      <c r="IB101" s="107"/>
      <c r="IC101" s="58"/>
      <c r="ID101" s="58"/>
      <c r="IE101" s="58"/>
      <c r="IF101" s="58"/>
      <c r="IG101" s="58"/>
      <c r="IH101" s="58"/>
      <c r="II101" s="58"/>
      <c r="IJ101" s="58"/>
      <c r="IK101" s="58"/>
      <c r="IL101" s="58"/>
      <c r="IM101" s="58"/>
      <c r="IN101" s="58"/>
      <c r="IO101" s="107"/>
      <c r="IP101" s="58"/>
      <c r="IQ101" s="58"/>
      <c r="IR101" s="58"/>
      <c r="IS101" s="58"/>
      <c r="IT101" s="58"/>
      <c r="IU101" s="58"/>
      <c r="IV101" s="58"/>
    </row>
    <row r="102" spans="1:249" s="108" customFormat="1" ht="14.25">
      <c r="A102" s="30"/>
      <c r="O102" s="109"/>
      <c r="AB102" s="109"/>
      <c r="AO102" s="109"/>
      <c r="BB102" s="109"/>
      <c r="BO102" s="109"/>
      <c r="CB102" s="109"/>
      <c r="CO102" s="109"/>
      <c r="DB102" s="109"/>
      <c r="DO102" s="109"/>
      <c r="EB102" s="109"/>
      <c r="EO102" s="109"/>
      <c r="FB102" s="109"/>
      <c r="FO102" s="109"/>
      <c r="GB102" s="109"/>
      <c r="GO102" s="109"/>
      <c r="HB102" s="109"/>
      <c r="HO102" s="109"/>
      <c r="IB102" s="109"/>
      <c r="IO102" s="109"/>
    </row>
    <row r="103" spans="2:256" ht="14.25">
      <c r="B103" s="45" t="s">
        <v>423</v>
      </c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60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60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60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60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60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60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60"/>
      <c r="CP103" s="59"/>
      <c r="CQ103" s="59"/>
      <c r="CR103" s="59"/>
      <c r="CS103" s="59"/>
      <c r="CT103" s="59"/>
      <c r="CU103" s="59"/>
      <c r="CV103" s="59"/>
      <c r="CW103" s="59"/>
      <c r="CX103" s="59"/>
      <c r="CY103" s="59"/>
      <c r="CZ103" s="59"/>
      <c r="DA103" s="59"/>
      <c r="DB103" s="60"/>
      <c r="DC103" s="59"/>
      <c r="DD103" s="59"/>
      <c r="DE103" s="59"/>
      <c r="DF103" s="59"/>
      <c r="DG103" s="59"/>
      <c r="DH103" s="59"/>
      <c r="DI103" s="59"/>
      <c r="DJ103" s="59"/>
      <c r="DK103" s="59"/>
      <c r="DL103" s="59"/>
      <c r="DM103" s="59"/>
      <c r="DN103" s="59"/>
      <c r="DO103" s="60"/>
      <c r="DP103" s="59"/>
      <c r="DQ103" s="59"/>
      <c r="DR103" s="59"/>
      <c r="DS103" s="59"/>
      <c r="DT103" s="59"/>
      <c r="DU103" s="59"/>
      <c r="DV103" s="59"/>
      <c r="DW103" s="59"/>
      <c r="DX103" s="59"/>
      <c r="DY103" s="59"/>
      <c r="DZ103" s="59"/>
      <c r="EA103" s="59"/>
      <c r="EB103" s="60"/>
      <c r="EC103" s="59"/>
      <c r="ED103" s="59"/>
      <c r="EE103" s="59"/>
      <c r="EF103" s="59"/>
      <c r="EG103" s="59"/>
      <c r="EH103" s="59"/>
      <c r="EI103" s="59"/>
      <c r="EJ103" s="59"/>
      <c r="EK103" s="59"/>
      <c r="EL103" s="59"/>
      <c r="EM103" s="59"/>
      <c r="EN103" s="59"/>
      <c r="EO103" s="60"/>
      <c r="EP103" s="59"/>
      <c r="EQ103" s="59"/>
      <c r="ER103" s="59"/>
      <c r="ES103" s="59"/>
      <c r="ET103" s="59"/>
      <c r="EU103" s="59"/>
      <c r="EV103" s="59"/>
      <c r="EW103" s="59"/>
      <c r="EX103" s="59"/>
      <c r="EY103" s="59"/>
      <c r="EZ103" s="59"/>
      <c r="FA103" s="59"/>
      <c r="FB103" s="60"/>
      <c r="FC103" s="59"/>
      <c r="FD103" s="59"/>
      <c r="FE103" s="59"/>
      <c r="FF103" s="59"/>
      <c r="FG103" s="59"/>
      <c r="FH103" s="59"/>
      <c r="FI103" s="59"/>
      <c r="FJ103" s="59"/>
      <c r="FK103" s="59"/>
      <c r="FL103" s="59"/>
      <c r="FM103" s="59"/>
      <c r="FN103" s="59"/>
      <c r="FO103" s="60"/>
      <c r="FP103" s="59"/>
      <c r="FQ103" s="59"/>
      <c r="FR103" s="59"/>
      <c r="FS103" s="59"/>
      <c r="FT103" s="59"/>
      <c r="FU103" s="59"/>
      <c r="FV103" s="59"/>
      <c r="FW103" s="59"/>
      <c r="FX103" s="59"/>
      <c r="FY103" s="59"/>
      <c r="FZ103" s="59"/>
      <c r="GA103" s="59"/>
      <c r="GB103" s="60"/>
      <c r="GC103" s="59"/>
      <c r="GD103" s="59"/>
      <c r="GE103" s="59"/>
      <c r="GF103" s="59"/>
      <c r="GG103" s="59"/>
      <c r="GH103" s="59"/>
      <c r="GI103" s="59"/>
      <c r="GJ103" s="59"/>
      <c r="GK103" s="59"/>
      <c r="GL103" s="59"/>
      <c r="GM103" s="59"/>
      <c r="GN103" s="59"/>
      <c r="GO103" s="60"/>
      <c r="GP103" s="59"/>
      <c r="GQ103" s="59"/>
      <c r="GR103" s="59"/>
      <c r="GS103" s="59"/>
      <c r="GT103" s="59"/>
      <c r="GU103" s="59"/>
      <c r="GV103" s="59"/>
      <c r="GW103" s="59"/>
      <c r="GX103" s="59"/>
      <c r="GY103" s="59"/>
      <c r="GZ103" s="59"/>
      <c r="HA103" s="59"/>
      <c r="HB103" s="60"/>
      <c r="HC103" s="59"/>
      <c r="HD103" s="59"/>
      <c r="HE103" s="59"/>
      <c r="HF103" s="59"/>
      <c r="HG103" s="59"/>
      <c r="HH103" s="59"/>
      <c r="HI103" s="59"/>
      <c r="HJ103" s="59"/>
      <c r="HK103" s="59"/>
      <c r="HL103" s="59"/>
      <c r="HM103" s="59"/>
      <c r="HN103" s="59"/>
      <c r="HO103" s="60"/>
      <c r="HP103" s="59"/>
      <c r="HQ103" s="59"/>
      <c r="HR103" s="59"/>
      <c r="HS103" s="59"/>
      <c r="HT103" s="59"/>
      <c r="HU103" s="59"/>
      <c r="HV103" s="59"/>
      <c r="HW103" s="59"/>
      <c r="HX103" s="59"/>
      <c r="HY103" s="59"/>
      <c r="HZ103" s="59"/>
      <c r="IA103" s="59"/>
      <c r="IB103" s="60"/>
      <c r="IC103" s="59"/>
      <c r="ID103" s="59"/>
      <c r="IE103" s="59"/>
      <c r="IF103" s="59"/>
      <c r="IG103" s="59"/>
      <c r="IH103" s="59"/>
      <c r="II103" s="59"/>
      <c r="IJ103" s="59"/>
      <c r="IK103" s="59"/>
      <c r="IL103" s="59"/>
      <c r="IM103" s="59"/>
      <c r="IN103" s="59"/>
      <c r="IO103" s="60"/>
      <c r="IP103" s="59"/>
      <c r="IQ103" s="59"/>
      <c r="IR103" s="59"/>
      <c r="IS103" s="59"/>
      <c r="IT103" s="59"/>
      <c r="IU103" s="59"/>
      <c r="IV103" s="59"/>
    </row>
    <row r="104" spans="2:256" ht="14.25">
      <c r="B104" s="61" t="s">
        <v>424</v>
      </c>
      <c r="C104" s="38" t="s">
        <v>207</v>
      </c>
      <c r="D104" s="38" t="s">
        <v>208</v>
      </c>
      <c r="E104" s="38" t="s">
        <v>209</v>
      </c>
      <c r="F104" s="38" t="s">
        <v>210</v>
      </c>
      <c r="G104" s="38" t="s">
        <v>211</v>
      </c>
      <c r="H104" s="38" t="s">
        <v>212</v>
      </c>
      <c r="I104" s="38" t="s">
        <v>213</v>
      </c>
      <c r="J104" s="38" t="s">
        <v>214</v>
      </c>
      <c r="K104" s="38" t="s">
        <v>215</v>
      </c>
      <c r="L104" s="38" t="s">
        <v>216</v>
      </c>
      <c r="M104" s="38" t="s">
        <v>217</v>
      </c>
      <c r="N104" s="38" t="s">
        <v>218</v>
      </c>
      <c r="O104" s="39" t="s">
        <v>219</v>
      </c>
      <c r="P104" s="38" t="s">
        <v>220</v>
      </c>
      <c r="Q104" s="38" t="s">
        <v>221</v>
      </c>
      <c r="R104" s="38" t="s">
        <v>222</v>
      </c>
      <c r="S104" s="38" t="s">
        <v>223</v>
      </c>
      <c r="T104" s="38" t="s">
        <v>224</v>
      </c>
      <c r="U104" s="38" t="s">
        <v>225</v>
      </c>
      <c r="V104" s="38" t="s">
        <v>226</v>
      </c>
      <c r="W104" s="38" t="s">
        <v>227</v>
      </c>
      <c r="X104" s="38" t="s">
        <v>228</v>
      </c>
      <c r="Y104" s="38" t="s">
        <v>229</v>
      </c>
      <c r="Z104" s="38" t="s">
        <v>230</v>
      </c>
      <c r="AA104" s="38" t="s">
        <v>231</v>
      </c>
      <c r="AB104" s="39" t="s">
        <v>232</v>
      </c>
      <c r="AC104" s="38" t="s">
        <v>233</v>
      </c>
      <c r="AD104" s="38" t="s">
        <v>234</v>
      </c>
      <c r="AE104" s="38" t="s">
        <v>235</v>
      </c>
      <c r="AF104" s="38" t="s">
        <v>236</v>
      </c>
      <c r="AG104" s="38" t="s">
        <v>237</v>
      </c>
      <c r="AH104" s="38" t="s">
        <v>238</v>
      </c>
      <c r="AI104" s="38" t="s">
        <v>239</v>
      </c>
      <c r="AJ104" s="38" t="s">
        <v>240</v>
      </c>
      <c r="AK104" s="38" t="s">
        <v>241</v>
      </c>
      <c r="AL104" s="38" t="s">
        <v>242</v>
      </c>
      <c r="AM104" s="38" t="s">
        <v>243</v>
      </c>
      <c r="AN104" s="38" t="s">
        <v>244</v>
      </c>
      <c r="AO104" s="39" t="s">
        <v>245</v>
      </c>
      <c r="AP104" s="38" t="s">
        <v>246</v>
      </c>
      <c r="AQ104" s="38" t="s">
        <v>247</v>
      </c>
      <c r="AR104" s="38" t="s">
        <v>248</v>
      </c>
      <c r="AS104" s="38" t="s">
        <v>249</v>
      </c>
      <c r="AT104" s="38" t="s">
        <v>250</v>
      </c>
      <c r="AU104" s="38" t="s">
        <v>251</v>
      </c>
      <c r="AV104" s="38" t="s">
        <v>252</v>
      </c>
      <c r="AW104" s="38" t="s">
        <v>253</v>
      </c>
      <c r="AX104" s="38" t="s">
        <v>254</v>
      </c>
      <c r="AY104" s="38" t="s">
        <v>255</v>
      </c>
      <c r="AZ104" s="38" t="s">
        <v>256</v>
      </c>
      <c r="BA104" s="38" t="s">
        <v>257</v>
      </c>
      <c r="BB104" s="39" t="s">
        <v>508</v>
      </c>
      <c r="BC104" s="38" t="s">
        <v>258</v>
      </c>
      <c r="BD104" s="38" t="s">
        <v>259</v>
      </c>
      <c r="BE104" s="38" t="s">
        <v>260</v>
      </c>
      <c r="BF104" s="38" t="s">
        <v>261</v>
      </c>
      <c r="BG104" s="38" t="s">
        <v>262</v>
      </c>
      <c r="BH104" s="38" t="s">
        <v>263</v>
      </c>
      <c r="BI104" s="38" t="s">
        <v>264</v>
      </c>
      <c r="BJ104" s="38" t="s">
        <v>265</v>
      </c>
      <c r="BK104" s="38" t="s">
        <v>266</v>
      </c>
      <c r="BL104" s="38" t="s">
        <v>509</v>
      </c>
      <c r="BM104" s="38" t="s">
        <v>267</v>
      </c>
      <c r="BN104" s="38" t="s">
        <v>268</v>
      </c>
      <c r="BO104" s="39" t="s">
        <v>510</v>
      </c>
      <c r="BP104" s="38" t="s">
        <v>269</v>
      </c>
      <c r="BQ104" s="38" t="s">
        <v>270</v>
      </c>
      <c r="BR104" s="38" t="s">
        <v>271</v>
      </c>
      <c r="BS104" s="38" t="s">
        <v>272</v>
      </c>
      <c r="BT104" s="38" t="s">
        <v>273</v>
      </c>
      <c r="BU104" s="38" t="s">
        <v>274</v>
      </c>
      <c r="BV104" s="38" t="s">
        <v>275</v>
      </c>
      <c r="BW104" s="38" t="s">
        <v>276</v>
      </c>
      <c r="BX104" s="38" t="s">
        <v>277</v>
      </c>
      <c r="BY104" s="38" t="s">
        <v>511</v>
      </c>
      <c r="BZ104" s="38" t="s">
        <v>278</v>
      </c>
      <c r="CA104" s="38" t="s">
        <v>279</v>
      </c>
      <c r="CB104" s="39" t="s">
        <v>280</v>
      </c>
      <c r="CC104" s="38" t="s">
        <v>281</v>
      </c>
      <c r="CD104" s="38" t="s">
        <v>282</v>
      </c>
      <c r="CE104" s="38" t="s">
        <v>283</v>
      </c>
      <c r="CF104" s="38" t="s">
        <v>284</v>
      </c>
      <c r="CG104" s="38" t="s">
        <v>285</v>
      </c>
      <c r="CH104" s="38" t="s">
        <v>286</v>
      </c>
      <c r="CI104" s="38" t="s">
        <v>287</v>
      </c>
      <c r="CJ104" s="38" t="s">
        <v>288</v>
      </c>
      <c r="CK104" s="38" t="s">
        <v>289</v>
      </c>
      <c r="CL104" s="38" t="s">
        <v>290</v>
      </c>
      <c r="CM104" s="38" t="s">
        <v>291</v>
      </c>
      <c r="CN104" s="38" t="s">
        <v>292</v>
      </c>
      <c r="CO104" s="39" t="s">
        <v>293</v>
      </c>
      <c r="CP104" s="38" t="s">
        <v>294</v>
      </c>
      <c r="CQ104" s="38" t="s">
        <v>295</v>
      </c>
      <c r="CR104" s="38" t="s">
        <v>296</v>
      </c>
      <c r="CS104" s="38" t="s">
        <v>297</v>
      </c>
      <c r="CT104" s="38" t="s">
        <v>298</v>
      </c>
      <c r="CU104" s="38" t="s">
        <v>299</v>
      </c>
      <c r="CV104" s="38" t="s">
        <v>300</v>
      </c>
      <c r="CW104" s="38" t="s">
        <v>301</v>
      </c>
      <c r="CX104" s="38" t="s">
        <v>302</v>
      </c>
      <c r="CY104" s="38" t="s">
        <v>303</v>
      </c>
      <c r="CZ104" s="38" t="s">
        <v>304</v>
      </c>
      <c r="DA104" s="38" t="s">
        <v>305</v>
      </c>
      <c r="DB104" s="39" t="s">
        <v>306</v>
      </c>
      <c r="DC104" s="38" t="s">
        <v>307</v>
      </c>
      <c r="DD104" s="38" t="s">
        <v>308</v>
      </c>
      <c r="DE104" s="38" t="s">
        <v>309</v>
      </c>
      <c r="DF104" s="38" t="s">
        <v>310</v>
      </c>
      <c r="DG104" s="38" t="s">
        <v>311</v>
      </c>
      <c r="DH104" s="38" t="s">
        <v>312</v>
      </c>
      <c r="DI104" s="38" t="s">
        <v>313</v>
      </c>
      <c r="DJ104" s="38" t="s">
        <v>314</v>
      </c>
      <c r="DK104" s="38" t="s">
        <v>315</v>
      </c>
      <c r="DL104" s="38" t="s">
        <v>316</v>
      </c>
      <c r="DM104" s="38" t="s">
        <v>317</v>
      </c>
      <c r="DN104" s="38" t="s">
        <v>318</v>
      </c>
      <c r="DO104" s="39" t="s">
        <v>319</v>
      </c>
      <c r="DP104" s="38" t="s">
        <v>320</v>
      </c>
      <c r="DQ104" s="38" t="s">
        <v>321</v>
      </c>
      <c r="DR104" s="38" t="s">
        <v>322</v>
      </c>
      <c r="DS104" s="38" t="s">
        <v>323</v>
      </c>
      <c r="DT104" s="38" t="s">
        <v>324</v>
      </c>
      <c r="DU104" s="38" t="s">
        <v>325</v>
      </c>
      <c r="DV104" s="38" t="s">
        <v>326</v>
      </c>
      <c r="DW104" s="38" t="s">
        <v>327</v>
      </c>
      <c r="DX104" s="38" t="s">
        <v>328</v>
      </c>
      <c r="DY104" s="38" t="s">
        <v>329</v>
      </c>
      <c r="DZ104" s="38" t="s">
        <v>330</v>
      </c>
      <c r="EA104" s="38" t="s">
        <v>331</v>
      </c>
      <c r="EB104" s="39" t="s">
        <v>332</v>
      </c>
      <c r="EC104" s="38" t="s">
        <v>333</v>
      </c>
      <c r="ED104" s="38" t="s">
        <v>334</v>
      </c>
      <c r="EE104" s="38" t="s">
        <v>335</v>
      </c>
      <c r="EF104" s="38" t="s">
        <v>336</v>
      </c>
      <c r="EG104" s="38" t="s">
        <v>337</v>
      </c>
      <c r="EH104" s="38" t="s">
        <v>338</v>
      </c>
      <c r="EI104" s="38" t="s">
        <v>339</v>
      </c>
      <c r="EJ104" s="38" t="s">
        <v>340</v>
      </c>
      <c r="EK104" s="38" t="s">
        <v>341</v>
      </c>
      <c r="EL104" s="38" t="s">
        <v>342</v>
      </c>
      <c r="EM104" s="38" t="s">
        <v>343</v>
      </c>
      <c r="EN104" s="38" t="s">
        <v>344</v>
      </c>
      <c r="EO104" s="39" t="s">
        <v>345</v>
      </c>
      <c r="EP104" s="38" t="s">
        <v>346</v>
      </c>
      <c r="EQ104" s="38" t="s">
        <v>347</v>
      </c>
      <c r="ER104" s="38" t="s">
        <v>348</v>
      </c>
      <c r="ES104" s="38" t="s">
        <v>349</v>
      </c>
      <c r="ET104" s="38" t="s">
        <v>350</v>
      </c>
      <c r="EU104" s="38" t="s">
        <v>351</v>
      </c>
      <c r="EV104" s="38" t="s">
        <v>352</v>
      </c>
      <c r="EW104" s="38" t="s">
        <v>353</v>
      </c>
      <c r="EX104" s="38" t="s">
        <v>354</v>
      </c>
      <c r="EY104" s="38" t="s">
        <v>355</v>
      </c>
      <c r="EZ104" s="38" t="s">
        <v>356</v>
      </c>
      <c r="FA104" s="38" t="s">
        <v>357</v>
      </c>
      <c r="FB104" s="39" t="s">
        <v>358</v>
      </c>
      <c r="FC104" s="38" t="s">
        <v>359</v>
      </c>
      <c r="FD104" s="38" t="s">
        <v>360</v>
      </c>
      <c r="FE104" s="38" t="s">
        <v>361</v>
      </c>
      <c r="FF104" s="38" t="s">
        <v>362</v>
      </c>
      <c r="FG104" s="38" t="s">
        <v>363</v>
      </c>
      <c r="FH104" s="38" t="s">
        <v>364</v>
      </c>
      <c r="FI104" s="38" t="s">
        <v>365</v>
      </c>
      <c r="FJ104" s="38" t="s">
        <v>366</v>
      </c>
      <c r="FK104" s="38" t="s">
        <v>367</v>
      </c>
      <c r="FL104" s="38" t="s">
        <v>368</v>
      </c>
      <c r="FM104" s="38" t="s">
        <v>369</v>
      </c>
      <c r="FN104" s="38" t="s">
        <v>370</v>
      </c>
      <c r="FO104" s="39" t="s">
        <v>371</v>
      </c>
      <c r="FP104" s="38" t="s">
        <v>446</v>
      </c>
      <c r="FQ104" s="38" t="s">
        <v>447</v>
      </c>
      <c r="FR104" s="38" t="s">
        <v>448</v>
      </c>
      <c r="FS104" s="38" t="s">
        <v>449</v>
      </c>
      <c r="FT104" s="38" t="s">
        <v>450</v>
      </c>
      <c r="FU104" s="38" t="s">
        <v>451</v>
      </c>
      <c r="FV104" s="38" t="s">
        <v>452</v>
      </c>
      <c r="FW104" s="38" t="s">
        <v>453</v>
      </c>
      <c r="FX104" s="38" t="s">
        <v>454</v>
      </c>
      <c r="FY104" s="38" t="s">
        <v>455</v>
      </c>
      <c r="FZ104" s="38" t="s">
        <v>456</v>
      </c>
      <c r="GA104" s="38" t="s">
        <v>457</v>
      </c>
      <c r="GB104" s="39" t="s">
        <v>458</v>
      </c>
      <c r="GC104" s="38" t="s">
        <v>459</v>
      </c>
      <c r="GD104" s="38" t="s">
        <v>460</v>
      </c>
      <c r="GE104" s="38" t="s">
        <v>461</v>
      </c>
      <c r="GF104" s="38" t="s">
        <v>462</v>
      </c>
      <c r="GG104" s="38" t="s">
        <v>463</v>
      </c>
      <c r="GH104" s="38" t="s">
        <v>464</v>
      </c>
      <c r="GI104" s="38" t="s">
        <v>465</v>
      </c>
      <c r="GJ104" s="38" t="s">
        <v>466</v>
      </c>
      <c r="GK104" s="38" t="s">
        <v>467</v>
      </c>
      <c r="GL104" s="38" t="s">
        <v>468</v>
      </c>
      <c r="GM104" s="38" t="s">
        <v>469</v>
      </c>
      <c r="GN104" s="38" t="s">
        <v>470</v>
      </c>
      <c r="GO104" s="39" t="s">
        <v>471</v>
      </c>
      <c r="GP104" s="38" t="s">
        <v>512</v>
      </c>
      <c r="GQ104" s="38" t="s">
        <v>513</v>
      </c>
      <c r="GR104" s="38" t="s">
        <v>514</v>
      </c>
      <c r="GS104" s="38" t="s">
        <v>515</v>
      </c>
      <c r="GT104" s="38" t="s">
        <v>516</v>
      </c>
      <c r="GU104" s="38" t="s">
        <v>517</v>
      </c>
      <c r="GV104" s="38" t="s">
        <v>518</v>
      </c>
      <c r="GW104" s="38" t="s">
        <v>519</v>
      </c>
      <c r="GX104" s="38" t="s">
        <v>520</v>
      </c>
      <c r="GY104" s="38" t="s">
        <v>521</v>
      </c>
      <c r="GZ104" s="38" t="s">
        <v>522</v>
      </c>
      <c r="HA104" s="38" t="s">
        <v>523</v>
      </c>
      <c r="HB104" s="39" t="s">
        <v>524</v>
      </c>
      <c r="HC104" s="38" t="s">
        <v>58</v>
      </c>
      <c r="HD104" s="38" t="s">
        <v>39</v>
      </c>
      <c r="HE104" s="38" t="s">
        <v>40</v>
      </c>
      <c r="HF104" s="38" t="s">
        <v>41</v>
      </c>
      <c r="HG104" s="38" t="s">
        <v>42</v>
      </c>
      <c r="HH104" s="38" t="s">
        <v>43</v>
      </c>
      <c r="HI104" s="38" t="s">
        <v>44</v>
      </c>
      <c r="HJ104" s="38" t="s">
        <v>45</v>
      </c>
      <c r="HK104" s="38" t="s">
        <v>46</v>
      </c>
      <c r="HL104" s="38" t="s">
        <v>47</v>
      </c>
      <c r="HM104" s="38" t="s">
        <v>48</v>
      </c>
      <c r="HN104" s="38" t="s">
        <v>49</v>
      </c>
      <c r="HO104" s="39" t="s">
        <v>372</v>
      </c>
      <c r="HP104" s="38" t="s">
        <v>38</v>
      </c>
      <c r="HQ104" s="38" t="s">
        <v>39</v>
      </c>
      <c r="HR104" s="38" t="s">
        <v>40</v>
      </c>
      <c r="HS104" s="38" t="s">
        <v>41</v>
      </c>
      <c r="HT104" s="38" t="s">
        <v>42</v>
      </c>
      <c r="HU104" s="38" t="s">
        <v>43</v>
      </c>
      <c r="HV104" s="38" t="s">
        <v>44</v>
      </c>
      <c r="HW104" s="38" t="s">
        <v>45</v>
      </c>
      <c r="HX104" s="38" t="s">
        <v>46</v>
      </c>
      <c r="HY104" s="38" t="s">
        <v>47</v>
      </c>
      <c r="HZ104" s="38" t="s">
        <v>48</v>
      </c>
      <c r="IA104" s="38" t="s">
        <v>49</v>
      </c>
      <c r="IB104" s="39" t="s">
        <v>372</v>
      </c>
      <c r="IC104" s="38" t="s">
        <v>38</v>
      </c>
      <c r="ID104" s="38" t="s">
        <v>39</v>
      </c>
      <c r="IE104" s="38" t="s">
        <v>40</v>
      </c>
      <c r="IF104" s="38" t="s">
        <v>41</v>
      </c>
      <c r="IG104" s="38" t="s">
        <v>42</v>
      </c>
      <c r="IH104" s="38" t="s">
        <v>43</v>
      </c>
      <c r="II104" s="38" t="s">
        <v>44</v>
      </c>
      <c r="IJ104" s="38" t="s">
        <v>45</v>
      </c>
      <c r="IK104" s="38" t="s">
        <v>46</v>
      </c>
      <c r="IL104" s="38" t="s">
        <v>47</v>
      </c>
      <c r="IM104" s="38" t="s">
        <v>48</v>
      </c>
      <c r="IN104" s="38" t="s">
        <v>49</v>
      </c>
      <c r="IO104" s="39" t="s">
        <v>372</v>
      </c>
      <c r="IP104" s="38" t="s">
        <v>38</v>
      </c>
      <c r="IQ104" s="38" t="s">
        <v>39</v>
      </c>
      <c r="IR104" s="38" t="s">
        <v>40</v>
      </c>
      <c r="IS104" s="38" t="s">
        <v>41</v>
      </c>
      <c r="IT104" s="38" t="s">
        <v>42</v>
      </c>
      <c r="IU104" s="38" t="s">
        <v>43</v>
      </c>
      <c r="IV104" s="38" t="s">
        <v>44</v>
      </c>
    </row>
    <row r="105" spans="2:256" ht="14.25" customHeight="1">
      <c r="B105" s="92" t="s">
        <v>425</v>
      </c>
      <c r="C105" s="62"/>
      <c r="D105" s="62"/>
      <c r="E105" s="62"/>
      <c r="F105" s="63"/>
      <c r="G105" s="63"/>
      <c r="H105" s="63"/>
      <c r="I105" s="63"/>
      <c r="J105" s="63"/>
      <c r="K105" s="63"/>
      <c r="L105" s="63"/>
      <c r="M105" s="63"/>
      <c r="N105" s="63"/>
      <c r="O105" s="110"/>
      <c r="P105" s="62"/>
      <c r="Q105" s="62"/>
      <c r="R105" s="62"/>
      <c r="S105" s="63"/>
      <c r="T105" s="63"/>
      <c r="U105" s="63"/>
      <c r="V105" s="63"/>
      <c r="W105" s="63"/>
      <c r="X105" s="63"/>
      <c r="Y105" s="63"/>
      <c r="Z105" s="63"/>
      <c r="AA105" s="63"/>
      <c r="AB105" s="110"/>
      <c r="AC105" s="62"/>
      <c r="AD105" s="62"/>
      <c r="AE105" s="62"/>
      <c r="AF105" s="63"/>
      <c r="AG105" s="63"/>
      <c r="AH105" s="63"/>
      <c r="AI105" s="63"/>
      <c r="AJ105" s="63"/>
      <c r="AK105" s="63"/>
      <c r="AL105" s="63"/>
      <c r="AM105" s="63"/>
      <c r="AN105" s="63"/>
      <c r="AO105" s="110"/>
      <c r="AP105" s="62"/>
      <c r="AQ105" s="62"/>
      <c r="AR105" s="62"/>
      <c r="AS105" s="63"/>
      <c r="AT105" s="63"/>
      <c r="AU105" s="63"/>
      <c r="AV105" s="63"/>
      <c r="AW105" s="63"/>
      <c r="AX105" s="63"/>
      <c r="AY105" s="63"/>
      <c r="AZ105" s="63"/>
      <c r="BA105" s="63"/>
      <c r="BB105" s="110"/>
      <c r="BC105" s="62"/>
      <c r="BD105" s="62"/>
      <c r="BE105" s="62"/>
      <c r="BF105" s="63"/>
      <c r="BG105" s="63"/>
      <c r="BH105" s="63"/>
      <c r="BI105" s="63"/>
      <c r="BJ105" s="63"/>
      <c r="BK105" s="63"/>
      <c r="BL105" s="63"/>
      <c r="BM105" s="63"/>
      <c r="BN105" s="63"/>
      <c r="BO105" s="110"/>
      <c r="BP105" s="62"/>
      <c r="BQ105" s="62"/>
      <c r="BR105" s="62"/>
      <c r="BS105" s="63"/>
      <c r="BT105" s="63"/>
      <c r="BU105" s="63"/>
      <c r="BV105" s="63"/>
      <c r="BW105" s="63"/>
      <c r="BX105" s="63"/>
      <c r="BY105" s="63"/>
      <c r="BZ105" s="63"/>
      <c r="CA105" s="63"/>
      <c r="CB105" s="110"/>
      <c r="CC105" s="62"/>
      <c r="CD105" s="62"/>
      <c r="CE105" s="62"/>
      <c r="CF105" s="63"/>
      <c r="CG105" s="63"/>
      <c r="CH105" s="63"/>
      <c r="CI105" s="63"/>
      <c r="CJ105" s="63"/>
      <c r="CK105" s="63"/>
      <c r="CL105" s="63"/>
      <c r="CM105" s="63"/>
      <c r="CN105" s="63"/>
      <c r="CO105" s="110"/>
      <c r="CP105" s="62"/>
      <c r="CQ105" s="62"/>
      <c r="CR105" s="62"/>
      <c r="CS105" s="63"/>
      <c r="CT105" s="63"/>
      <c r="CU105" s="63"/>
      <c r="CV105" s="63"/>
      <c r="CW105" s="63"/>
      <c r="CX105" s="63"/>
      <c r="CY105" s="63"/>
      <c r="CZ105" s="63"/>
      <c r="DA105" s="63"/>
      <c r="DB105" s="110"/>
      <c r="DC105" s="62"/>
      <c r="DD105" s="62"/>
      <c r="DE105" s="62"/>
      <c r="DF105" s="63"/>
      <c r="DG105" s="63"/>
      <c r="DH105" s="63"/>
      <c r="DI105" s="63"/>
      <c r="DJ105" s="63"/>
      <c r="DK105" s="63"/>
      <c r="DL105" s="63"/>
      <c r="DM105" s="63"/>
      <c r="DN105" s="63"/>
      <c r="DO105" s="110"/>
      <c r="DP105" s="62"/>
      <c r="DQ105" s="62"/>
      <c r="DR105" s="62"/>
      <c r="DS105" s="63"/>
      <c r="DT105" s="63"/>
      <c r="DU105" s="63"/>
      <c r="DV105" s="63"/>
      <c r="DW105" s="63"/>
      <c r="DX105" s="63"/>
      <c r="DY105" s="63"/>
      <c r="DZ105" s="63"/>
      <c r="EA105" s="63"/>
      <c r="EB105" s="110"/>
      <c r="EC105" s="62"/>
      <c r="ED105" s="62"/>
      <c r="EE105" s="62"/>
      <c r="EF105" s="63"/>
      <c r="EG105" s="63"/>
      <c r="EH105" s="63"/>
      <c r="EI105" s="63"/>
      <c r="EJ105" s="63"/>
      <c r="EK105" s="63"/>
      <c r="EL105" s="63"/>
      <c r="EM105" s="63"/>
      <c r="EN105" s="63"/>
      <c r="EO105" s="110"/>
      <c r="EP105" s="62"/>
      <c r="EQ105" s="62"/>
      <c r="ER105" s="62"/>
      <c r="ES105" s="63"/>
      <c r="ET105" s="63"/>
      <c r="EU105" s="63"/>
      <c r="EV105" s="63"/>
      <c r="EW105" s="63"/>
      <c r="EX105" s="63"/>
      <c r="EY105" s="63"/>
      <c r="EZ105" s="63"/>
      <c r="FA105" s="63"/>
      <c r="FB105" s="110"/>
      <c r="FC105" s="62"/>
      <c r="FD105" s="62"/>
      <c r="FE105" s="62"/>
      <c r="FF105" s="63"/>
      <c r="FG105" s="63"/>
      <c r="FH105" s="63"/>
      <c r="FI105" s="63"/>
      <c r="FJ105" s="63"/>
      <c r="FK105" s="63"/>
      <c r="FL105" s="63"/>
      <c r="FM105" s="63"/>
      <c r="FN105" s="63"/>
      <c r="FO105" s="110"/>
      <c r="FP105" s="62"/>
      <c r="FQ105" s="62"/>
      <c r="FR105" s="62"/>
      <c r="FS105" s="63"/>
      <c r="FT105" s="63"/>
      <c r="FU105" s="63"/>
      <c r="FV105" s="63"/>
      <c r="FW105" s="63"/>
      <c r="FX105" s="63"/>
      <c r="FY105" s="63"/>
      <c r="FZ105" s="63"/>
      <c r="GA105" s="63"/>
      <c r="GB105" s="110"/>
      <c r="GC105" s="62"/>
      <c r="GD105" s="62"/>
      <c r="GE105" s="62"/>
      <c r="GF105" s="63"/>
      <c r="GG105" s="63"/>
      <c r="GH105" s="63"/>
      <c r="GI105" s="63"/>
      <c r="GJ105" s="63"/>
      <c r="GK105" s="63"/>
      <c r="GL105" s="63"/>
      <c r="GM105" s="63"/>
      <c r="GN105" s="63"/>
      <c r="GO105" s="110"/>
      <c r="GP105" s="62"/>
      <c r="GQ105" s="62"/>
      <c r="GR105" s="62"/>
      <c r="GS105" s="63"/>
      <c r="GT105" s="63"/>
      <c r="GU105" s="63"/>
      <c r="GV105" s="63"/>
      <c r="GW105" s="63"/>
      <c r="GX105" s="63"/>
      <c r="GY105" s="63"/>
      <c r="GZ105" s="63"/>
      <c r="HA105" s="63"/>
      <c r="HB105" s="110"/>
      <c r="HC105" s="62"/>
      <c r="HD105" s="62"/>
      <c r="HE105" s="62"/>
      <c r="HF105" s="63"/>
      <c r="HG105" s="63"/>
      <c r="HH105" s="63"/>
      <c r="HI105" s="63"/>
      <c r="HJ105" s="63"/>
      <c r="HK105" s="63"/>
      <c r="HL105" s="63"/>
      <c r="HM105" s="63"/>
      <c r="HN105" s="63"/>
      <c r="HO105" s="110"/>
      <c r="HP105" s="62"/>
      <c r="HQ105" s="62"/>
      <c r="HR105" s="62"/>
      <c r="HS105" s="63"/>
      <c r="HT105" s="63"/>
      <c r="HU105" s="63"/>
      <c r="HV105" s="63"/>
      <c r="HW105" s="63"/>
      <c r="HX105" s="63"/>
      <c r="HY105" s="63"/>
      <c r="HZ105" s="63"/>
      <c r="IA105" s="63"/>
      <c r="IB105" s="110"/>
      <c r="IC105" s="62"/>
      <c r="ID105" s="62"/>
      <c r="IE105" s="62"/>
      <c r="IF105" s="63"/>
      <c r="IG105" s="63"/>
      <c r="IH105" s="63"/>
      <c r="II105" s="63"/>
      <c r="IJ105" s="63"/>
      <c r="IK105" s="63"/>
      <c r="IL105" s="63"/>
      <c r="IM105" s="63"/>
      <c r="IN105" s="63"/>
      <c r="IO105" s="110"/>
      <c r="IP105" s="62"/>
      <c r="IQ105" s="62"/>
      <c r="IR105" s="62"/>
      <c r="IS105" s="63"/>
      <c r="IT105" s="63"/>
      <c r="IU105" s="63"/>
      <c r="IV105" s="63"/>
    </row>
    <row r="106" spans="1:256" s="69" customFormat="1" ht="14.25">
      <c r="A106" s="64"/>
      <c r="B106" s="65" t="s">
        <v>426</v>
      </c>
      <c r="C106" s="66"/>
      <c r="D106" s="67"/>
      <c r="E106" s="68"/>
      <c r="F106" s="66"/>
      <c r="G106" s="67"/>
      <c r="H106" s="68"/>
      <c r="I106" s="66"/>
      <c r="J106" s="67"/>
      <c r="K106" s="68"/>
      <c r="L106" s="66"/>
      <c r="M106" s="67"/>
      <c r="N106" s="68"/>
      <c r="O106" s="50"/>
      <c r="P106" s="66"/>
      <c r="Q106" s="67"/>
      <c r="R106" s="68"/>
      <c r="S106" s="66"/>
      <c r="T106" s="67"/>
      <c r="U106" s="68"/>
      <c r="V106" s="66"/>
      <c r="W106" s="67"/>
      <c r="X106" s="68"/>
      <c r="Y106" s="66"/>
      <c r="Z106" s="67"/>
      <c r="AA106" s="68"/>
      <c r="AB106" s="50"/>
      <c r="AC106" s="66"/>
      <c r="AD106" s="67"/>
      <c r="AE106" s="68"/>
      <c r="AF106" s="66"/>
      <c r="AG106" s="67"/>
      <c r="AH106" s="68"/>
      <c r="AI106" s="66"/>
      <c r="AJ106" s="67"/>
      <c r="AK106" s="68"/>
      <c r="AL106" s="66"/>
      <c r="AM106" s="67"/>
      <c r="AN106" s="68">
        <f>(AL10+AM10+AN10)/120*100</f>
        <v>19579.542414666666</v>
      </c>
      <c r="AO106" s="50">
        <f aca="true" t="shared" si="143" ref="AO106:AO116">AN106</f>
        <v>19579.542414666666</v>
      </c>
      <c r="AP106" s="66"/>
      <c r="AQ106" s="67"/>
      <c r="AR106" s="68">
        <f>(AP10+AQ10+AR10)/120*100</f>
        <v>36845.15402133333</v>
      </c>
      <c r="AS106" s="66"/>
      <c r="AT106" s="67"/>
      <c r="AU106" s="68">
        <f>AR106+(AS10+AT10+AU10)/120*100</f>
        <v>54895.39421733333</v>
      </c>
      <c r="AV106" s="66"/>
      <c r="AW106" s="67"/>
      <c r="AX106" s="68">
        <f>AU106+(AV10+AW10+AX10)/120*100</f>
        <v>58283.55799333333</v>
      </c>
      <c r="AY106" s="66"/>
      <c r="AZ106" s="67"/>
      <c r="BA106" s="68">
        <f>AX106+(AY10+AZ10+BA10)/120*100</f>
        <v>99348.01820933333</v>
      </c>
      <c r="BB106" s="50">
        <f aca="true" t="shared" si="144" ref="BB106:BB111">BA106</f>
        <v>99348.01820933333</v>
      </c>
      <c r="BC106" s="66"/>
      <c r="BD106" s="67"/>
      <c r="BE106" s="68">
        <f>(BC10+BD10+BE10)/120*100</f>
        <v>75508.60377866666</v>
      </c>
      <c r="BF106" s="66"/>
      <c r="BG106" s="67"/>
      <c r="BH106" s="68">
        <f>BE106+(BF10+BG10+BH10)/120*100</f>
        <v>113522.17387333332</v>
      </c>
      <c r="BI106" s="66"/>
      <c r="BJ106" s="67"/>
      <c r="BK106" s="68">
        <f>BH106+(BI10+BJ10+BK10)/120*100</f>
        <v>122452.22104933331</v>
      </c>
      <c r="BL106" s="66"/>
      <c r="BM106" s="67"/>
      <c r="BN106" s="68">
        <f>BK106+(BL10+BM10+BN10)/120*100</f>
        <v>163516.68126533332</v>
      </c>
      <c r="BO106" s="50">
        <f aca="true" t="shared" si="145" ref="BO106:BO111">BN106</f>
        <v>163516.68126533332</v>
      </c>
      <c r="BP106" s="66"/>
      <c r="BQ106" s="67"/>
      <c r="BR106" s="68">
        <f>(BP10+BQ10+BR10)/120*100</f>
        <v>75508.60377866666</v>
      </c>
      <c r="BS106" s="66"/>
      <c r="BT106" s="67"/>
      <c r="BU106" s="68">
        <f>BR106+(BS10+BT10+BU10)/120*100</f>
        <v>113522.17387333332</v>
      </c>
      <c r="BV106" s="66"/>
      <c r="BW106" s="67"/>
      <c r="BX106" s="68">
        <f>BU106+(BV10+BW10+BX10)/120*100</f>
        <v>122452.22104933331</v>
      </c>
      <c r="BY106" s="66"/>
      <c r="BZ106" s="67"/>
      <c r="CA106" s="68">
        <f>BX106+(BY10+BZ10+CA10)/120*100</f>
        <v>163516.68126533332</v>
      </c>
      <c r="CB106" s="50">
        <f aca="true" t="shared" si="146" ref="CB106:CB111">CA106</f>
        <v>163516.68126533332</v>
      </c>
      <c r="CC106" s="66"/>
      <c r="CD106" s="67"/>
      <c r="CE106" s="68">
        <f>(CC10+CD10+CE10)/120*100</f>
        <v>75508.60377866666</v>
      </c>
      <c r="CF106" s="66"/>
      <c r="CG106" s="67"/>
      <c r="CH106" s="68">
        <f>CE106+(CF10+CG10+CH10)/120*100</f>
        <v>113522.17387333332</v>
      </c>
      <c r="CI106" s="66"/>
      <c r="CJ106" s="67"/>
      <c r="CK106" s="68">
        <f>CH106+(CI10+CJ10+CK10)/120*100</f>
        <v>122452.22104933331</v>
      </c>
      <c r="CL106" s="66"/>
      <c r="CM106" s="67"/>
      <c r="CN106" s="68">
        <f>CK106+(CL10+CM10+CN10)/120*100</f>
        <v>163516.68126533332</v>
      </c>
      <c r="CO106" s="50">
        <f aca="true" t="shared" si="147" ref="CO106:CO116">CN106</f>
        <v>163516.68126533332</v>
      </c>
      <c r="CP106" s="66"/>
      <c r="CQ106" s="67"/>
      <c r="CR106" s="68">
        <f>(CP10+CQ10+CR10)/120*100</f>
        <v>75508.60377866666</v>
      </c>
      <c r="CS106" s="66"/>
      <c r="CT106" s="67"/>
      <c r="CU106" s="68">
        <f>CR106+(CS10+CT10+CU10)/120*100</f>
        <v>113522.17387333332</v>
      </c>
      <c r="CV106" s="66"/>
      <c r="CW106" s="67"/>
      <c r="CX106" s="68">
        <f>CU106+(CV10+CW10+CX10)/120*100</f>
        <v>122452.22104933331</v>
      </c>
      <c r="CY106" s="66"/>
      <c r="CZ106" s="67"/>
      <c r="DA106" s="68">
        <f>CX106+(CY10+CZ10+DA10)/120*100</f>
        <v>163516.68126533332</v>
      </c>
      <c r="DB106" s="50">
        <f aca="true" t="shared" si="148" ref="DB106:DB116">DA106</f>
        <v>163516.68126533332</v>
      </c>
      <c r="DC106" s="66"/>
      <c r="DD106" s="67"/>
      <c r="DE106" s="68">
        <f>(DC10+DD10+DE10)/120*100</f>
        <v>75508.60377866666</v>
      </c>
      <c r="DF106" s="66"/>
      <c r="DG106" s="67"/>
      <c r="DH106" s="68">
        <f>DE106+(DF10+DG10+DH10)/120*100</f>
        <v>113522.17387333332</v>
      </c>
      <c r="DI106" s="66"/>
      <c r="DJ106" s="67"/>
      <c r="DK106" s="68">
        <f>DH106+(DI10+DJ10+DK10)/120*100</f>
        <v>122452.22104933331</v>
      </c>
      <c r="DL106" s="66"/>
      <c r="DM106" s="67"/>
      <c r="DN106" s="68">
        <f>DK106+(DL10+DM10+DN10)/120*100</f>
        <v>163516.68126533332</v>
      </c>
      <c r="DO106" s="50">
        <f aca="true" t="shared" si="149" ref="DO106:DO116">DN106</f>
        <v>163516.68126533332</v>
      </c>
      <c r="DP106" s="66"/>
      <c r="DQ106" s="67"/>
      <c r="DR106" s="68">
        <f>(DP10+DQ10+DR10)/120*100</f>
        <v>75508.60377866666</v>
      </c>
      <c r="DS106" s="66"/>
      <c r="DT106" s="67"/>
      <c r="DU106" s="68">
        <f>DR106+(DS10+DT10+DU10)/120*100</f>
        <v>113522.17387333332</v>
      </c>
      <c r="DV106" s="66"/>
      <c r="DW106" s="67"/>
      <c r="DX106" s="68">
        <f>DU106+(DV10+DW10+DX10)/120*100</f>
        <v>122452.22104933331</v>
      </c>
      <c r="DY106" s="66"/>
      <c r="DZ106" s="67"/>
      <c r="EA106" s="68">
        <f>DX106+(DY10+DZ10+EA10)/120*100</f>
        <v>163516.68126533332</v>
      </c>
      <c r="EB106" s="50">
        <f aca="true" t="shared" si="150" ref="EB106:EB116">EA106</f>
        <v>163516.68126533332</v>
      </c>
      <c r="EC106" s="66"/>
      <c r="ED106" s="67"/>
      <c r="EE106" s="68">
        <f>(EC10+ED10+EE10)/120*100</f>
        <v>75508.60377866666</v>
      </c>
      <c r="EF106" s="66"/>
      <c r="EG106" s="67"/>
      <c r="EH106" s="68">
        <f>EE106+(EF10+EG10+EH10)/120*100</f>
        <v>113522.17387333332</v>
      </c>
      <c r="EI106" s="66"/>
      <c r="EJ106" s="67"/>
      <c r="EK106" s="68">
        <f>EH106+(EI10+EJ10+EK10)/120*100</f>
        <v>122452.22104933331</v>
      </c>
      <c r="EL106" s="66"/>
      <c r="EM106" s="67"/>
      <c r="EN106" s="68">
        <f>EK106+(EL10+EM10+EN10)/120*100</f>
        <v>163516.68126533332</v>
      </c>
      <c r="EO106" s="50">
        <f aca="true" t="shared" si="151" ref="EO106:EO116">EN106</f>
        <v>163516.68126533332</v>
      </c>
      <c r="EP106" s="66"/>
      <c r="EQ106" s="67"/>
      <c r="ER106" s="68">
        <f>(EP10+EQ10+ER10)/120*100</f>
        <v>75508.60377866666</v>
      </c>
      <c r="ES106" s="66"/>
      <c r="ET106" s="67"/>
      <c r="EU106" s="68">
        <f>ER106+(ES10+ET10+EU10)/120*100</f>
        <v>113522.17387333332</v>
      </c>
      <c r="EV106" s="66"/>
      <c r="EW106" s="67"/>
      <c r="EX106" s="68">
        <f>EU106+(EV10+EW10+EX10)/120*100</f>
        <v>122452.22104933331</v>
      </c>
      <c r="EY106" s="66"/>
      <c r="EZ106" s="67"/>
      <c r="FA106" s="68">
        <f>EX106+(EY10+EZ10+FA10)/120*100</f>
        <v>163516.68126533332</v>
      </c>
      <c r="FB106" s="50">
        <f aca="true" t="shared" si="152" ref="FB106:FB116">FA106</f>
        <v>163516.68126533332</v>
      </c>
      <c r="FC106" s="66"/>
      <c r="FD106" s="67"/>
      <c r="FE106" s="68">
        <f>(FC10+FD10+FE10)/120*100</f>
        <v>75508.60377866666</v>
      </c>
      <c r="FF106" s="66"/>
      <c r="FG106" s="67"/>
      <c r="FH106" s="68">
        <f>FE106+(FF10+FG10+FH10)/120*100</f>
        <v>113522.17387333332</v>
      </c>
      <c r="FI106" s="66"/>
      <c r="FJ106" s="67"/>
      <c r="FK106" s="68">
        <f>FH106+(FI10+FJ10+FK10)/120*100</f>
        <v>122452.22104933331</v>
      </c>
      <c r="FL106" s="66"/>
      <c r="FM106" s="67"/>
      <c r="FN106" s="68">
        <f>FK106+(FL10+FM10+FN10)/120*100</f>
        <v>163516.68126533332</v>
      </c>
      <c r="FO106" s="50">
        <f aca="true" t="shared" si="153" ref="FO106:FO116">FN106</f>
        <v>163516.68126533332</v>
      </c>
      <c r="FP106" s="66"/>
      <c r="FQ106" s="67"/>
      <c r="FR106" s="68">
        <f>(FP10+FQ10+FR10)/120*100</f>
        <v>75508.60377866666</v>
      </c>
      <c r="FS106" s="66"/>
      <c r="FT106" s="67"/>
      <c r="FU106" s="68">
        <f>FR106+(FS10+FT10+FU10)/120*100</f>
        <v>113522.17387333332</v>
      </c>
      <c r="FV106" s="66"/>
      <c r="FW106" s="67"/>
      <c r="FX106" s="68">
        <f>FU106+(FV10+FW10+FX10)/120*100</f>
        <v>122452.22104933331</v>
      </c>
      <c r="FY106" s="66"/>
      <c r="FZ106" s="67"/>
      <c r="GA106" s="68">
        <f>FX106+(FY10+FZ10+GA10)/120*100</f>
        <v>163516.68126533332</v>
      </c>
      <c r="GB106" s="50">
        <f aca="true" t="shared" si="154" ref="GB106:GB117">GA106</f>
        <v>163516.68126533332</v>
      </c>
      <c r="GC106" s="66"/>
      <c r="GD106" s="67"/>
      <c r="GE106" s="68">
        <f>(GC10+GD10+GE10)/120*100</f>
        <v>75508.60377866666</v>
      </c>
      <c r="GF106" s="66"/>
      <c r="GG106" s="67"/>
      <c r="GH106" s="68">
        <f>GE106+(GF10+GG10+GH10)/120*100</f>
        <v>113522.17387333332</v>
      </c>
      <c r="GI106" s="66"/>
      <c r="GJ106" s="67"/>
      <c r="GK106" s="68">
        <f>GH106+(GI10+GJ10+GK10)/120*100</f>
        <v>122452.22104933331</v>
      </c>
      <c r="GL106" s="66"/>
      <c r="GM106" s="67"/>
      <c r="GN106" s="68">
        <f>GK106+(GL10+GM10+GN10)/120*100</f>
        <v>163516.68126533332</v>
      </c>
      <c r="GO106" s="50">
        <f aca="true" t="shared" si="155" ref="GO106:GO117">GN106</f>
        <v>163516.68126533332</v>
      </c>
      <c r="GP106" s="66"/>
      <c r="GQ106" s="67"/>
      <c r="GR106" s="68">
        <f>(GP10+GQ10+GR10)/120*100</f>
        <v>75508.60377866666</v>
      </c>
      <c r="GS106" s="66"/>
      <c r="GT106" s="67"/>
      <c r="GU106" s="68">
        <f>GR106+(GS10+GT10+GU10)/120*100</f>
        <v>113522.17387333332</v>
      </c>
      <c r="GV106" s="66"/>
      <c r="GW106" s="67"/>
      <c r="GX106" s="68">
        <f>GU106+(GV10+GW10+GX10)/120*100</f>
        <v>122452.22104933331</v>
      </c>
      <c r="GY106" s="66"/>
      <c r="GZ106" s="67"/>
      <c r="HA106" s="68">
        <f>GX106+(GY10+GZ10+HA10)/120*100</f>
        <v>163516.68126533332</v>
      </c>
      <c r="HB106" s="50">
        <f aca="true" t="shared" si="156" ref="HB106:HB117">HA106</f>
        <v>163516.68126533332</v>
      </c>
      <c r="HC106" s="49">
        <f aca="true" t="shared" si="157" ref="HC106:HC118">HB106+GO106+GB106+FO106+FB106+EO106+EB106+DO106+DB106+CO106+CB106+BO106+BB106+AO106+AB106+O106</f>
        <v>2081127.7358079993</v>
      </c>
      <c r="HD106" s="67"/>
      <c r="HE106" s="68"/>
      <c r="HF106" s="66"/>
      <c r="HG106" s="67"/>
      <c r="HH106" s="68"/>
      <c r="HI106" s="66"/>
      <c r="HJ106" s="67"/>
      <c r="HK106" s="68"/>
      <c r="HL106" s="66"/>
      <c r="HM106" s="67"/>
      <c r="HN106" s="68"/>
      <c r="HO106" s="50"/>
      <c r="HP106" s="66"/>
      <c r="HQ106" s="67"/>
      <c r="HR106" s="68"/>
      <c r="HS106" s="66"/>
      <c r="HT106" s="67"/>
      <c r="HU106" s="68"/>
      <c r="HV106" s="66"/>
      <c r="HW106" s="67"/>
      <c r="HX106" s="68"/>
      <c r="HY106" s="66"/>
      <c r="HZ106" s="67"/>
      <c r="IA106" s="68"/>
      <c r="IB106" s="50"/>
      <c r="IC106" s="66"/>
      <c r="ID106" s="67"/>
      <c r="IE106" s="68"/>
      <c r="IF106" s="66"/>
      <c r="IG106" s="67"/>
      <c r="IH106" s="68"/>
      <c r="II106" s="66"/>
      <c r="IJ106" s="67"/>
      <c r="IK106" s="68"/>
      <c r="IL106" s="66"/>
      <c r="IM106" s="67"/>
      <c r="IN106" s="68"/>
      <c r="IO106" s="50"/>
      <c r="IP106" s="66"/>
      <c r="IQ106" s="67"/>
      <c r="IR106" s="68"/>
      <c r="IS106" s="66"/>
      <c r="IT106" s="67"/>
      <c r="IU106" s="68"/>
      <c r="IV106" s="49"/>
    </row>
    <row r="107" spans="1:256" s="78" customFormat="1" ht="27">
      <c r="A107" s="70"/>
      <c r="B107" s="71" t="s">
        <v>427</v>
      </c>
      <c r="C107" s="72"/>
      <c r="D107" s="73"/>
      <c r="E107" s="74"/>
      <c r="F107" s="72"/>
      <c r="G107" s="73"/>
      <c r="H107" s="74"/>
      <c r="I107" s="72"/>
      <c r="J107" s="73"/>
      <c r="K107" s="74"/>
      <c r="L107" s="72"/>
      <c r="M107" s="73"/>
      <c r="N107" s="74"/>
      <c r="O107" s="50"/>
      <c r="P107" s="72"/>
      <c r="Q107" s="73"/>
      <c r="R107" s="74"/>
      <c r="S107" s="72"/>
      <c r="T107" s="73"/>
      <c r="U107" s="74"/>
      <c r="V107" s="72"/>
      <c r="W107" s="73"/>
      <c r="X107" s="74">
        <f>X27/120*100+X24</f>
        <v>289.6037733333333</v>
      </c>
      <c r="Y107" s="72"/>
      <c r="Z107" s="73"/>
      <c r="AA107" s="74">
        <f>X107+(Y27+Z27+AA27)/120*100+Y24+Z24+AA24</f>
        <v>1158.4150933333333</v>
      </c>
      <c r="AB107" s="50">
        <f aca="true" t="shared" si="158" ref="AB107:AB116">AA107</f>
        <v>1158.4150933333333</v>
      </c>
      <c r="AC107" s="72"/>
      <c r="AD107" s="73"/>
      <c r="AE107" s="74">
        <f>(AC27+AD27+AE27)/120*100+AC24+AD24+AE24</f>
        <v>868.81132</v>
      </c>
      <c r="AF107" s="72"/>
      <c r="AG107" s="73"/>
      <c r="AH107" s="74">
        <f>AE107+(AF27+AG27+AH27)/120*100+AF24+AG24+AH24</f>
        <v>1737.62264</v>
      </c>
      <c r="AI107" s="72"/>
      <c r="AJ107" s="73"/>
      <c r="AK107" s="74">
        <f>AH107+(AK25+AK26+AI27+AJ27+AK27+AK30+AK31+AK32+AK37+AK38+AK39+AK40)/120*100+AI24+AJ24+AK24+AK29+AK33+AK35+AK36+AK41</f>
        <v>5822.2401895</v>
      </c>
      <c r="AL107" s="72"/>
      <c r="AM107" s="73"/>
      <c r="AN107" s="74">
        <f>AK107+(AL26+AM26+AN26+AL27+AM27+AN27+AL30+AM30+AN30+AL31+AM31+AN31+AL32+AM32+AN32+AL37+AM37+AN37+AL38+AM38+AN38+AL39+AM39+AN39+AL40+AM40+AN40)/120*100+AL24+AM24+AN24+AL29+AM29+AN29+AL33+AM33+AN33+AL35+AM35+AN35+AL36+AM36+AN36+AL41+AM41+AN41</f>
        <v>24658.642793125004</v>
      </c>
      <c r="AO107" s="50">
        <f t="shared" si="143"/>
        <v>24658.642793125004</v>
      </c>
      <c r="AP107" s="72"/>
      <c r="AQ107" s="73"/>
      <c r="AR107" s="74">
        <f>(AP26+AQ26+AR26+AP27+AQ27+AR27+AP30+AQ30+AR30+AP31+AQ31+AR31+AP32+AQ32+AR32+AP37+AQ37+AR37+AP38+AQ38+AR38+AP39+AQ39+AR39+AP40+AQ40+AR40)/120*100+AP24+AQ24+AR24+AP29+AQ29+AR29+AP33+AQ33+AR33+AP35+AQ35+AR35+AP36+AQ36+AR36+AP41+AQ41+AR41</f>
        <v>18559.892391499994</v>
      </c>
      <c r="AS107" s="72"/>
      <c r="AT107" s="73"/>
      <c r="AU107" s="74">
        <f>AR107+(AS26+AT26+AU26+AS27+AT27+AU27+AS30+AT30+AU30+AS31+AT31+AU31+AS32+AT32+AU32+AS37+AT37+AU37+AS38+AT38+AU38+AS39+AT39+AU39+AS40+AT40+AU40)/120*100+AS24+AT24+AU24+AS29+AT29+AU29+AS33+AT33+AU33+AS35+AT35+AU35+AS41+AT41+AU41</f>
        <v>26091.96786220833</v>
      </c>
      <c r="AV107" s="72"/>
      <c r="AW107" s="73"/>
      <c r="AX107" s="74">
        <f>AU107+(AX25+AV26+AW26+AX26+AV27+AW27+AX27+AV30+AW30+AX30+AV31+AW31+AX31+AV32+AW32+AX32+AV37+AW37+AX37+AV38+AW38+AX38+AV39+AW39+AX39+AV40+AW40+AX40)/120*100+AV24+AW24+AX24+AV29+AW29+AX29+AV33+AW33+AX33+AV35+AW35+AX35+AV36+AW36+AX36+AV41+AW41+AX41</f>
        <v>35370.594811875</v>
      </c>
      <c r="AY107" s="72"/>
      <c r="AZ107" s="73"/>
      <c r="BA107" s="74">
        <f>AX107+(AY26+AZ26+BA26+AY27+AZ27+BA27+AY30+AZ30+BA30+AY31+AZ31+BA31+AY32+AZ32+BA32+AY37+AZ37+BA37+AY38+AZ38+BA38+AY39+AZ39+BA39+AY40+AZ40+BA40)/120*100+AY24+AZ24+BA24+AY29+AZ29+BA29+AY33+AZ33+BA33+AY35+AZ35+BA35+AY36+AZ36+BA36+AY41+AZ41+BA41</f>
        <v>74845.63857870833</v>
      </c>
      <c r="BB107" s="50">
        <f t="shared" si="144"/>
        <v>74845.63857870833</v>
      </c>
      <c r="BC107" s="72"/>
      <c r="BD107" s="73"/>
      <c r="BE107" s="74">
        <f>(BC26+BD26+BE26+BC27+BD27+BE27+BC30+BD30+BE30+BC31+BD31+BE31+BC32+BD32+BE32+BC37+BD37+BE37+BC38+BD38+BE38+BC39+BD39+BE39+BC40+BD40+BE40)/120*100+BC24+BD24+BE24+BC29+BD29+BE29+BC33+BD33+BE33+BC35+BD35+BE35+BC36+BD36+BE36+BC41+BD41+BE41</f>
        <v>36037.50310066668</v>
      </c>
      <c r="BF107" s="72"/>
      <c r="BG107" s="73"/>
      <c r="BH107" s="74">
        <f>BE107+(BF26+BG26+BH26+BF27+BG27+BH27+BF30+BG30+BH30+BF31+BG31+BH31+BF32+BG32+BH32+BF37+BG37+BH37+BF38+BG38+BH38+BF39+BG39+BH39+BF40+BG40+BH40)/120*100+BF24+BG24+BH24+BF29+BG29+BH29+BF33+BG33+BH33+BF35+BG35+BH35+BF41+BG41+BH41</f>
        <v>51210.134791291675</v>
      </c>
      <c r="BI107" s="72"/>
      <c r="BJ107" s="73"/>
      <c r="BK107" s="74">
        <f>BH107+(BK25+BI26+BJ26+BK26+BI27+BJ27+BK27+BI30+BJ30+BK30+BI31+BJ31+BK31+BI32+BJ32+BK32+BI37+BJ37+BK37+BI38+BJ38+BK38+BI39+BJ39+BK39+BI40+BJ40+BK40)/120*100+BI24+BJ24+BK24+BI29+BJ29+BK29+BI33+BJ33+BK33+BI35+BJ35+BK35+BI36+BJ36+BK36+BI41+BJ41+BK41</f>
        <v>62249.92248454168</v>
      </c>
      <c r="BL107" s="72"/>
      <c r="BM107" s="73"/>
      <c r="BN107" s="74">
        <f>BK107+(BL26+BM26+BN26+BL27+BM27+BN27+BL30+BM30+BN30+BL31+BM31+BN31+BL32+BM32+BN32+BL37+BM37+BN37+BL38+BM38+BN38+BL39+BM39+BN39+BL40+BM40+BN40)/120*100+BL24+BM24+BN24+BL29+BM29+BN29+BL33+BM33+BN33+BL35+BM35+BN35+BL36+BM36+BN36+BL41+BM41+BN41</f>
        <v>101724.96639304167</v>
      </c>
      <c r="BO107" s="50">
        <f t="shared" si="145"/>
        <v>101724.96639304167</v>
      </c>
      <c r="BP107" s="72"/>
      <c r="BQ107" s="73"/>
      <c r="BR107" s="74">
        <f>(BP26+BQ26+BR26+BP27+BQ27+BR27+BP30+BQ30+BR30+BP31+BQ31+BR31+BP32+BQ32+BR32+BP37+BQ37+BR37+BP38+BQ38+BR38+BP39+BQ39+BR39+BP40+BQ40+BR40)/120*100+BP24+BQ24+BR24+BP29+BQ29+BR29+BP33+BQ33+BR33+BP35+BQ35+BR35+BP36+BQ36+BR36+BP41+BQ41+BR41</f>
        <v>36527.12103204169</v>
      </c>
      <c r="BS107" s="72"/>
      <c r="BT107" s="73"/>
      <c r="BU107" s="74">
        <f>BR107+(BS26+BT26+BU26+BS27+BT27+BU27+BS30+BT30+BU30+BS31+BT31+BU31+BS32+BT32+BU32+BS37+BT37+BU37+BS38+BT38+BU38+BS39+BT39+BU39+BS40+BT40+BU40)/120*100+BS24+BT24+BU24+BS29+BT29+BU29+BS33+BT33+BU33+BS35+BT35+BU35+BS41+BT41+BU41</f>
        <v>51234.88918041668</v>
      </c>
      <c r="BV107" s="72"/>
      <c r="BW107" s="73"/>
      <c r="BX107" s="74">
        <f>BU107+(BX25+BV26+BW26+BX26+BV27+BW27+BX27+BV30+BW30+BX30+BV31+BW31+BX31+BV32+BW32+BX32+BV37+BW37+BX37+BV38+BW38+BX38+BV39+BW39+BX39+BV40+BW40+BX40)/120*100+BV24+BW24+BX24+BV29+BW29+BX29+BV33+BW33+BX33+BV35+BW35+BX35+BV36+BW36+BX36+BV41+BW41+BX41</f>
        <v>62234.486546791675</v>
      </c>
      <c r="BY107" s="72"/>
      <c r="BZ107" s="73"/>
      <c r="CA107" s="74">
        <f>BX107+(BY26+BZ26+CA26+BY27+BZ27+CA27+BY30+BZ30+CA30+BY31+BZ31+CA31+BY32+BZ32+CA32+BY37+BZ37+CA37+BY38+BZ38+CA38+BY39+BZ39+CA39+BY40+BZ40+CA40)/120*100+BY24+BZ24+CA24+BY29+BZ29+CA29+BY33+BZ33+CA33+BY35+BZ35+CA35+BY36+BZ36+CA36+BY41+BZ41+CA41</f>
        <v>101709.53045529166</v>
      </c>
      <c r="CB107" s="50">
        <f t="shared" si="146"/>
        <v>101709.53045529166</v>
      </c>
      <c r="CC107" s="72"/>
      <c r="CD107" s="73"/>
      <c r="CE107" s="74">
        <f>(CC26+CD26+CE26+CC27+CD27+CE27+CC30+CD30+CE30+CC31+CD31+CE31+CC32+CD32+CE32+CC37+CD37+CE37+CC38+CD38+CE38+CC39+CD39+CE39+CC40+CD40+CE40)/120*100+CC24+CD24+CE24+CC29+CD29+CE29+CC33+CD33+CE33+CC35+CD35+CE35+CC36+CD36+CE36+CC41+CD41+CE41</f>
        <v>36527.12103204169</v>
      </c>
      <c r="CF107" s="72"/>
      <c r="CG107" s="73"/>
      <c r="CH107" s="74">
        <f>CE107+(CF26+CG26+CH26+CF27+CG27+CH27+CF30+CG30+CH30+CF31+CG31+CH31+CF32+CG32+CH32+CF37+CG37+CH37+CF38+CG38+CH38+CF39+CG39+CH39+CF40+CG40+CH40)/120*100+CF24+CG24+CH24+CF29+CG29+CH29+CF33+CG33+CH33+CF35+CG35+CH35+CF41+CG41+CH41</f>
        <v>51234.88918041668</v>
      </c>
      <c r="CI107" s="72"/>
      <c r="CJ107" s="73"/>
      <c r="CK107" s="74">
        <f>CH107+(CK25+CI26+CJ26+CK26+CI27+CJ27+CK27+CI30+CJ30+CK30+CI31+CJ31+CK31+CI32+CJ32+CK32+CI37+CJ37+CK37+CI38+CJ38+CK38+CI39+CJ39+CK39+CI40+CJ40+CK40)/120*100+CI24+CJ24+CK24+CI29+CJ29+CK29+CI33+CJ33+CK33+CI35+CJ35+CK35+CI36+CJ36+CK36+CI41+CJ41+CK41</f>
        <v>62650.56972529168</v>
      </c>
      <c r="CL107" s="72"/>
      <c r="CM107" s="73"/>
      <c r="CN107" s="74">
        <f>CK107+(CL26+CM26+CN26+CL27+CM27+CN27+CL30+CM30+CN30+CL31+CM31+CN31+CL32+CM32+CN32+CL37+CM37+CN37+CL38+CM38+CN38+CL39+CM39+CN39+CL40+CM40+CN40)/120*100+CL24+CM24+CN24+CL29+CM29+CN29+CL33+CM33+CN33+CL35+CM35+CN35+CL36+CM36+CN36+CL41+CM41+CN41</f>
        <v>101680.41120841667</v>
      </c>
      <c r="CO107" s="50">
        <f t="shared" si="147"/>
        <v>101680.41120841667</v>
      </c>
      <c r="CP107" s="72"/>
      <c r="CQ107" s="73"/>
      <c r="CR107" s="74">
        <f>(CP26+CQ26+CR26+CP27+CQ27+CR27+CP30+CQ30+CR30+CP31+CQ31+CR31+CP32+CQ32+CR32+CP37+CQ37+CR37+CP38+CQ38+CR38+CP39+CQ39+CR39+CP40+CQ40+CR40)/120*100+CP24+CQ24+CR24+CP29+CQ29+CR29+CP33+CQ33+CR33+CP35+CQ35+CR35+CP36+CQ36+CR36+CP41+CQ41+CR41</f>
        <v>36527.12103204169</v>
      </c>
      <c r="CS107" s="72"/>
      <c r="CT107" s="73"/>
      <c r="CU107" s="74">
        <f>CR107+(CS26+CT26+CU26+CS27+CT27+CU27+CS30+CT30+CU30+CS31+CT31+CU31+CS32+CT32+CU32+CS37+CT37+CU37+CS38+CT38+CU38+CS39+CT39+CU39+CS40+CT40+CU40)/120*100+CS24+CT24+CU24+CS29+CT29+CU29+CS33+CT33+CU33+CS35+CT35+CU35+CS41+CT41+CU41</f>
        <v>51699.75272266668</v>
      </c>
      <c r="CV107" s="72"/>
      <c r="CW107" s="73"/>
      <c r="CX107" s="74">
        <f>CU107+(CX25+CV26+CW26+CX26+CV27+CW27+CX27+CV30+CW30+CX30+CV31+CW31+CX31+CV32+CW32+CX32+CV37+CW37+CX37+CV38+CW38+CX38+CV39+CW39+CX39+CV40+CW40+CX40)/120*100+CV24+CW24+CX24+CV29+CW29+CX29+CV33+CW33+CX33+CV35+CW35+CX35+CV36+CW36+CX36+CV41+CW41+CX41</f>
        <v>62678.32272529168</v>
      </c>
      <c r="CY107" s="72"/>
      <c r="CZ107" s="73"/>
      <c r="DA107" s="74">
        <f>CX107+(CY26+CZ26+DA26+CY27+CZ27+DA27+CY30+CZ30+DA30+CY31+CZ31+DA31+CY32+CZ32+DA32+CY37+CZ37+DA37+CY38+CZ38+DA38+CY39+CZ39+DA39+CY40+CZ40+DA40)/120*100+CY24+CZ24+DA24+CY29+CZ29+DA29+CY33+CZ33+DA33+CY35+CZ35+DA35+CY36+CZ36+DA36+CY41+CZ41+DA41</f>
        <v>101599.32116741667</v>
      </c>
      <c r="DB107" s="50">
        <f t="shared" si="148"/>
        <v>101599.32116741667</v>
      </c>
      <c r="DC107" s="72"/>
      <c r="DD107" s="73"/>
      <c r="DE107" s="74">
        <f>(DC26+DD26+DE26+DC27+DD27+DE27+DC30+DD30+DE30+DC31+DD31+DE31+DC32+DD32+DE32+DC37+DD37+DE37+DC38+DD38+DE38+DC39+DD39+DE39+DC40+DD40+DE40)/120*100+DC24+DD24+DE24+DC29+DD29+DE29+DC33+DD33+DE33+DC35+DD35+DE35+DC36+DD36+DE36+DC41+DD41+DE41</f>
        <v>36527.12103204169</v>
      </c>
      <c r="DF107" s="72"/>
      <c r="DG107" s="73"/>
      <c r="DH107" s="74">
        <f>DE107+(DF26+DG26+DH26+DF27+DG27+DH27+DF30+DG30+DH30+DF31+DG31+DH31+DF32+DG32+DH32+DF37+DG37+DH37+DF38+DG38+DH38+DF39+DG39+DH39+DF40+DG40+DH40)/120*100+DF24+DG24+DH24+DF29+DG29+DH29+DF33+DG33+DH33+DF35+DG35+DH35+DF41+DG41+DH41</f>
        <v>51699.75272266668</v>
      </c>
      <c r="DI107" s="72"/>
      <c r="DJ107" s="73"/>
      <c r="DK107" s="74">
        <f>DH107+(DK25+DI26+DJ26+DK26+DI27+DJ27+DK27+DI30+DJ30+DK30+DI31+DJ31+DK31+DI32+DJ32+DK32+DI37+DJ37+DK37+DI38+DJ38+DK38+DI39+DJ39+DK39+DI40+DJ40+DK40)/120*100+DI24+DJ24+DK24+DI29+DJ29+DK29+DI33+DJ33+DK33+DI35+DJ35+DK35+DI36+DJ36+DK36+DI41+DJ41+DK41</f>
        <v>62678.32272529168</v>
      </c>
      <c r="DL107" s="72"/>
      <c r="DM107" s="73"/>
      <c r="DN107" s="74">
        <f>DK107+(DL26+DM26+DN26+DL27+DM27+DN27+DL30+DM30+DN30+DL31+DM31+DN31+DL32+DM32+DN32+DL37+DM37+DN37+DL38+DM38+DN38+DL39+DM39+DN39+DL40+DM40+DN40)/120*100+DL24+DM24+DN24+DL29+DM29+DN29+DL33+DM33+DN33+DL35+DM35+DN35+DL36+DM36+DN36+DL41+DM41+DN41</f>
        <v>102153.36663379167</v>
      </c>
      <c r="DO107" s="50">
        <f t="shared" si="149"/>
        <v>102153.36663379167</v>
      </c>
      <c r="DP107" s="72"/>
      <c r="DQ107" s="73"/>
      <c r="DR107" s="74">
        <f>(DP26+DQ26+DR26+DP27+DQ27+DR27+DP30+DQ30+DR30+DP31+DQ31+DR31+DP32+DQ32+DR32+DP37+DQ37+DR37+DP38+DQ38+DR38+DP39+DQ39+DR39+DP40+DQ40+DR40)/120*100+DP24+DQ24+DR24+DP29+DQ29+DR29+DP33+DQ33+DR33+DP35+DQ35+DR35+DP36+DQ36+DR36+DP41+DQ41+DR41</f>
        <v>36037.50310066668</v>
      </c>
      <c r="DS107" s="72"/>
      <c r="DT107" s="73"/>
      <c r="DU107" s="74">
        <f>DR107+(DS26+DT26+DU26+DS27+DT27+DU27+DS30+DT30+DU30+DS31+DT31+DU31+DS32+DT32+DU32+DS37+DT37+DU37+DS38+DT38+DU38+DS39+DT39+DU39+DS40+DT40+DU40)/120*100+DS24+DT24+DU24+DS29+DT29+DU29+DS33+DT33+DU33+DS35+DT35+DU35+DS41+DT41+DU41</f>
        <v>51210.134791291675</v>
      </c>
      <c r="DV107" s="72"/>
      <c r="DW107" s="73"/>
      <c r="DX107" s="74">
        <f>DU107+(DX25+DV26+DW26+DX26+DV27+DW27+DX27+DV30+DW30+DX30+DV31+DW31+DX31+DV32+DW32+DX32+DV37+DW37+DX37+DV38+DW38+DX38+DV39+DW39+DX39+DV40+DW40+DX40)/120*100+DV24+DW24+DX24+DV29+DW29+DX29+DV33+DW33+DX33+DV35+DW35+DX35+DV36+DW36+DX36+DV41+DW41+DX41</f>
        <v>62249.92248454168</v>
      </c>
      <c r="DY107" s="72"/>
      <c r="DZ107" s="73"/>
      <c r="EA107" s="74">
        <f>DX107+(DY26+DZ26+EA26+DY27+DZ27+EA27+DY30+DZ30+EA30+DY31+DZ31+EA31+DY32+DZ32+EA32+DY37+DZ37+EA37+DY38+DZ38+EA38+DY39+DZ39+EA39+DY40+DZ40+EA40)/120*100+DY24+DZ24+EA24+DY29+DZ29+EA29+DY33+DZ33+EA33+DY35+DZ35+EA35+DY36+DZ36+EA36+DY41+DZ41+EA41</f>
        <v>101724.96639304167</v>
      </c>
      <c r="EB107" s="50">
        <f t="shared" si="150"/>
        <v>101724.96639304167</v>
      </c>
      <c r="EC107" s="72"/>
      <c r="ED107" s="73"/>
      <c r="EE107" s="74">
        <f>(EC26+ED26+EE26+EC27+ED27+EE27+EC30+ED30+EE30+EC31+ED31+EE31+EC32+ED32+EE32+EC37+ED37+EE37+EC38+ED38+EE38+EC39+ED39+EE39+EC40+ED40+EE40)/120*100+EC24+ED24+EE24+EC29+ED29+EE29+EC33+ED33+EE33+EC35+ED35+EE35+EC36+ED36+EE36+EC41+ED41+EE41</f>
        <v>36037.50310066668</v>
      </c>
      <c r="EF107" s="72"/>
      <c r="EG107" s="73"/>
      <c r="EH107" s="74">
        <f>EE107+(EF26+EG26+EH26+EF27+EG27+EH27+EF30+EG30+EH30+EF31+EG31+EH31+EF32+EG32+EH32+EF37+EG37+EH37+EF38+EG38+EH38+EF39+EG39+EH39+EF40+EG40+EH40)/120*100+EF24+EG24+EH24+EF29+EG29+EH29+EF33+EG33+EH33+EF35+EG35+EH35+EF41+EG41+EH41</f>
        <v>51210.134791291675</v>
      </c>
      <c r="EI107" s="72"/>
      <c r="EJ107" s="73"/>
      <c r="EK107" s="74">
        <f>EH107+(EK25+EI26+EJ26+EK26+EI27+EJ27+EK27+EI30+EJ30+EK30+EI31+EJ31+EK31+EI32+EJ32+EK32+EI37+EJ37+EK37+EI38+EJ38+EK38+EI39+EJ39+EK39+EI40+EJ40+EK40)/120*100+EI24+EJ24+EK24+EI29+EJ29+EK29+EI33+EJ33+EK33+EI35+EJ35+EK35+EI36+EJ36+EK36+EI41+EJ41+EK41</f>
        <v>62209.73215766667</v>
      </c>
      <c r="EL107" s="72"/>
      <c r="EM107" s="73"/>
      <c r="EN107" s="74">
        <f>EK107+(EL26+EM26+EN26+EL27+EM27+EN27+EL30+EM30+EN30+EL31+EM31+EN31+EL32+EM32+EN32+EL37+EM37+EN37+EL38+EM38+EN38+EL39+EM39+EN39+EL40+EM40+EN40)/120*100+EL24+EM24+EN24+EL29+EM29+EN29+EL33+EM33+EN33+EL35+EM35+EN35+EL36+EM36+EN36+EL41+EM41+EN41</f>
        <v>101684.77606616665</v>
      </c>
      <c r="EO107" s="50">
        <f t="shared" si="151"/>
        <v>101684.77606616665</v>
      </c>
      <c r="EP107" s="72"/>
      <c r="EQ107" s="73"/>
      <c r="ER107" s="74">
        <f>(EP26+EQ26+ER26+EP27+EQ27+ER27+EP30+EQ30+ER30+EP31+EQ31+ER31+EP32+EQ32+ER32+EP37+EQ37+ER37+EP38+EQ38+ER38+EP39+EQ39+ER39+EP40+EQ40+ER40)/120*100+EP24+EQ24+ER24+EP29+EQ29+ER29+EP33+EQ33+ER33+EP35+EQ35+ER35+EP36+EQ36+ER36+EP41+EQ41+ER41</f>
        <v>36527.12103204169</v>
      </c>
      <c r="ES107" s="72"/>
      <c r="ET107" s="73"/>
      <c r="EU107" s="74">
        <f>ER107+(ES26+ET26+EU26+ES27+ET27+EU27+ES30+ET30+EU30+ES31+ET31+EU31+ES32+ET32+EU32+ES37+ET37+EU37+ES38+ET38+EU38+ES39+ET39+EU39+ES40+ET40+EU40)/120*100+ES24+ET24+EU24+ES29+ET29+EU29+ES33+ET33+EU33+ES35+ET35+EU35+ES41+ET41+EU41</f>
        <v>51234.88918041668</v>
      </c>
      <c r="EV107" s="72"/>
      <c r="EW107" s="73"/>
      <c r="EX107" s="74">
        <f>EU107+(EX25+EV26+EW26+EX26+EV27+EW27+EX27+EV30+EW30+EX30+EV31+EW31+EX31+EV32+EW32+EX32+EV37+EW37+EX37+EV38+EW38+EX38+EV39+EW39+EX39+EV40+EW40+EX40)/120*100+EV24+EW24+EX24+EV29+EW29+EX29+EV33+EW33+EX33+EV35+EW35+EX35+EV36+EW36+EX36+EV41+EW41+EX41</f>
        <v>62286.61364559167</v>
      </c>
      <c r="EY107" s="72"/>
      <c r="EZ107" s="73"/>
      <c r="FA107" s="74">
        <f>EX107+(EY26+EZ26+FA26+EY27+EZ27+FA27+EY30+EZ30+FA30+EY31+EZ31+FA31+EY32+EZ32+FA32+EY37+EZ37+FA37+EY38+EZ38+FA38+EY39+EZ39+FA39+EY40+EZ40+FA40)/120*100+EY24+EZ24+FA24+EY29+EZ29+FA29+EY33+EZ33+FA33+EY35+EZ35+FA35+EY36+EZ36+FA36+EY41+EZ41+FA41</f>
        <v>102297.8219988917</v>
      </c>
      <c r="FB107" s="50">
        <f t="shared" si="152"/>
        <v>102297.8219988917</v>
      </c>
      <c r="FC107" s="72"/>
      <c r="FD107" s="73"/>
      <c r="FE107" s="74">
        <f>(FC26+FD26+FE26+FC27+FD27+FE27+FC30+FD30+FE30+FC31+FD31+FE31+FC32+FD32+FE32+FC37+FD37+FE37+FC38+FD38+FE38+FC39+FD39+FE39+FC40+FD40+FE40)/120*100+FC24+FD24+FE24+FC29+FD29+FE29+FC33+FD33+FE33+FC35+FD35+FE35+FC36+FD36+FE36+FC41+FD41+FE41</f>
        <v>36527.12103204169</v>
      </c>
      <c r="FF107" s="72"/>
      <c r="FG107" s="73"/>
      <c r="FH107" s="74">
        <f>FE107+(FF26+FG26+FH26+FF27+FG27+FH27+FF30+FG30+FH30+FF31+FG31+FH31+FF32+FG32+FH32+FF37+FG37+FH37+FF38+FG38+FH38+FF39+FG39+FH39+FF40+FG40+FH40)/120*100+FF24+FG24+FH24+FF29+FG29+FH29+FF33+FG33+FH33+FF35+FG35+FH35+FF41+FG41+FH41</f>
        <v>51234.88918041668</v>
      </c>
      <c r="FI107" s="72"/>
      <c r="FJ107" s="73"/>
      <c r="FK107" s="74">
        <f>FH107+(FK25+FI26+FJ26+FK26+FI27+FJ27+FK27+FI30+FJ30+FK30+FI31+FJ31+FK31+FI32+FJ32+FK32+FI37+FJ37+FK37+FI38+FJ38+FK38+FI39+FJ39+FK39+FI40+FJ40+FK40)/120*100+FI24+FJ24+FK24+FI29+FJ29+FK29+FI33+FJ33+FK33+FI35+FJ35+FK35+FI36+FJ36+FK36+FI41+FJ41+FK41</f>
        <v>62650.56972529168</v>
      </c>
      <c r="FL107" s="72"/>
      <c r="FM107" s="73"/>
      <c r="FN107" s="74">
        <f>FK107+(FL26+FM26+FN26+FL27+FM27+FN27+FL30+FM30+FN30+FL31+FM31+FN31+FL32+FM32+FN32+FL37+FM37+FN37+FL38+FM38+FN38+FL39+FM39+FN39+FL40+FM40+FN40)/120*100+FL24+FM24+FN24+FL29+FM29+FN29+FL33+FM33+FN33+FL35+FM35+FN35+FL36+FM36+FN36+FL41+FM41+FN41</f>
        <v>101680.41120841667</v>
      </c>
      <c r="FO107" s="50">
        <f t="shared" si="153"/>
        <v>101680.41120841667</v>
      </c>
      <c r="FP107" s="72"/>
      <c r="FQ107" s="73"/>
      <c r="FR107" s="74">
        <f>(FP26+FQ26+FR26+FP27+FQ27+FR27+FP30+FQ30+FR30+FP31+FQ31+FR31+FP32+FQ32+FR32+FP37+FQ37+FR37+FP38+FQ38+FR38+FP39+FQ39+FR39+FP40+FQ40+FR40)/120*100+FP24+FQ24+FR24+FP29+FQ29+FR29+FP33+FQ33+FR33+FP35+FQ35+FR35+FP36+FQ36+FR36+FP41+FQ41+FR41</f>
        <v>36527.12103204169</v>
      </c>
      <c r="FS107" s="72"/>
      <c r="FT107" s="73"/>
      <c r="FU107" s="74">
        <f>FR107+(FS26+FT26+FU26+FS27+FT27+FU27+FS30+FT30+FU30+FS31+FT31+FU31+FS32+FT32+FU32+FS37+FT37+FU37+FS38+FT38+FU38+FS39+FT39+FU39+FS40+FT40+FU40)/120*100+FS24+FT24+FU24+FS29+FT29+FU29+FS33+FT33+FU33+FS35+FT35+FU35+FS41+FT41+FU41</f>
        <v>51699.75272266668</v>
      </c>
      <c r="FV107" s="72"/>
      <c r="FW107" s="73"/>
      <c r="FX107" s="74">
        <f>FU107+(FX25+FV26+FW26+FX26+FV27+FW27+FX27+FV30+FW30+FX30+FV31+FW31+FX31+FV32+FW32+FX32+FV37+FW37+FX37+FV38+FW38+FX38+FV39+FW39+FX39+FV40+FW40+FX40)/120*100+FV24+FW24+FX24+FV29+FW29+FX29+FV33+FW33+FX33+FV35+FW35+FX35+FV36+FW36+FX36+FV41+FW41+FX41</f>
        <v>62678.32272529168</v>
      </c>
      <c r="FY107" s="72"/>
      <c r="FZ107" s="73"/>
      <c r="GA107" s="74">
        <f>FX107+(FY26+FZ26+GA26+FY27+FZ27+GA27+FY30+FZ30+GA30+FY31+FZ31+GA31+FY32+FZ32+GA32+FY37+FZ37+GA37+FY38+FZ38+GA38+FY39+FZ39+GA39+FY40+FZ40+GA40)/120*100+FY24+FZ24+GA24+FY29+FZ29+GA29+FY33+FZ33+GA33+FY35+FZ35+GA35+FY36+FZ36+GA36+FY41+FZ41+GA41</f>
        <v>101599.32116741667</v>
      </c>
      <c r="GB107" s="50">
        <f t="shared" si="154"/>
        <v>101599.32116741667</v>
      </c>
      <c r="GC107" s="72"/>
      <c r="GD107" s="73"/>
      <c r="GE107" s="74">
        <f>(GC26+GD26+GE26+GC27+GD27+GE27+GC30+GD30+GE30+GC31+GD31+GE31+GC32+GD32+GE32+GC37+GD37+GE37+GC38+GD38+GE38+GC39+GD39+GE39+GC40+GD40+GE40)/120*100+GC24+GD24+GE24+GC29+GD29+GE29+GC33+GD33+GE33+GC35+GD35+GE35+GC36+GD36+GE36+GC41+GD41+GE41</f>
        <v>36527.12103204169</v>
      </c>
      <c r="GF107" s="72"/>
      <c r="GG107" s="73"/>
      <c r="GH107" s="74">
        <f>GE107+(GF26+GG26+GH26+GF27+GG27+GH27+GF30+GG30+GH30+GF31+GG31+GH31+GF32+GG32+GH32+GF37+GG37+GH37+GF38+GG38+GH38+GF39+GG39+GH39+GF40+GG40+GH40)/120*100+GF24+GG24+GH24+GF29+GG29+GH29+GF33+GG33+GH33+GF35+GG35+GH35+GF41+GG41+GH41</f>
        <v>51699.75272266668</v>
      </c>
      <c r="GI107" s="72"/>
      <c r="GJ107" s="73"/>
      <c r="GK107" s="74">
        <f>GH107+(GK25+GI26+GJ26+GK26+GI27+GJ27+GK27+GI30+GJ30+GK30+GI31+GJ31+GK31+GI32+GJ32+GK32+GI37+GJ37+GK37+GI38+GJ38+GK38+GI39+GJ39+GK39+GI40+GJ40+GK40)/120*100+GI24+GJ24+GK24+GI29+GJ29+GK29+GI33+GJ33+GK33+GI35+GJ35+GK35+GI36+GJ36+GK36+GI41+GJ41+GK41</f>
        <v>62739.54041591669</v>
      </c>
      <c r="GL107" s="72"/>
      <c r="GM107" s="73"/>
      <c r="GN107" s="74">
        <f>GK107+(GL26+GM26+GN26+GL27+GM27+GN27+GL30+GM30+GN30+GL31+GM31+GN31+GL32+GM32+GN32+GL37+GM37+GN37+GL38+GM38+GN38+GL39+GM39+GN39+GL40+GM40+GN40)/120*100+GL24+GM24+GN24+GL29+GM29+GN29+GL33+GM33+GN33+GL35+GM35+GN35+GL36+GM36+GN36+GL41+GM41+GN41</f>
        <v>102214.58432441668</v>
      </c>
      <c r="GO107" s="50">
        <f t="shared" si="155"/>
        <v>102214.58432441668</v>
      </c>
      <c r="GP107" s="72"/>
      <c r="GQ107" s="73"/>
      <c r="GR107" s="74">
        <f>(GP26+GQ26+GR26+GP27+GQ27+GR27+GP30+GQ30+GR30+GP31+GQ31+GR31+GP32+GQ32+GR32+GP37+GQ37+GR37+GP38+GQ38+GR38+GP39+GQ39+GR39+GP40+GQ40+GR40)/120*100+GP24+GQ24+GR24+GP29+GQ29+GR29+GP33+GQ33+GR33+GP35+GQ35+GR35+GP36+GQ36+GR36+GP41+GQ41+GR41</f>
        <v>36037.50310066668</v>
      </c>
      <c r="GS107" s="72"/>
      <c r="GT107" s="73"/>
      <c r="GU107" s="74">
        <f>GR107+(GS26+GT26+GU26+GS27+GT27+GU27+GS30+GT30+GU30+GS31+GT31+GU31+GS32+GT32+GU32+GS37+GT37+GU37+GS38+GT38+GU38+GS39+GT39+GU39+GS40+GT40+GU40)/120*100+GS24+GT24+GU24+GS29+GT29+GU29+GS33+GT33+GU33+GS35+GT35+GU35+GS41+GT41+GU41</f>
        <v>51210.134791291675</v>
      </c>
      <c r="GV107" s="72"/>
      <c r="GW107" s="73"/>
      <c r="GX107" s="74">
        <f>GU107+(GX25+GV26+GW26+GX26+GV27+GW27+GX27+GV30+GW30+GX30+GV31+GW31+GX31+GV32+GW32+GX32+GV37+GW37+GX37+GV38+GW38+GX38+GV39+GW39+GX39+GV40+GW40+GX40)/120*100+GV24+GW24+GX24+GV29+GW29+GX29+GV33+GW33+GX33+GV35+GW35+GX35+GV36+GW36+GX36+GV41+GW41+GX41</f>
        <v>62249.92248454168</v>
      </c>
      <c r="GY107" s="72"/>
      <c r="GZ107" s="73"/>
      <c r="HA107" s="74">
        <f>GX107+(GY26+GZ26+HA26+GY27+GZ27+HA27+GY30+GZ30+HA30+GY31+GZ31+HA31+GY32+GZ32+HA32+GY37+GZ37+HA37+GY38+GZ38+HA38+GY39+GZ39+HA39+GY40+GZ40+HA40)/120*100+GY24+GZ24+HA24+GY29+GZ29+HA29+GY33+GZ33+HA33+GY35+GZ35+HA35+GY36+GZ36+HA36+GY41+GZ41+HA41</f>
        <v>101724.96639304167</v>
      </c>
      <c r="HB107" s="50">
        <f t="shared" si="156"/>
        <v>101724.96639304167</v>
      </c>
      <c r="HC107" s="49">
        <f t="shared" si="157"/>
        <v>1322457.1398745165</v>
      </c>
      <c r="HD107" s="73"/>
      <c r="HE107" s="74"/>
      <c r="HF107" s="72"/>
      <c r="HG107" s="73"/>
      <c r="HH107" s="74"/>
      <c r="HI107" s="72"/>
      <c r="HJ107" s="73"/>
      <c r="HK107" s="74"/>
      <c r="HL107" s="72"/>
      <c r="HM107" s="73"/>
      <c r="HN107" s="74"/>
      <c r="HO107" s="50"/>
      <c r="HP107" s="72"/>
      <c r="HQ107" s="73"/>
      <c r="HR107" s="74"/>
      <c r="HS107" s="72"/>
      <c r="HT107" s="73"/>
      <c r="HU107" s="74"/>
      <c r="HV107" s="72"/>
      <c r="HW107" s="73"/>
      <c r="HX107" s="74"/>
      <c r="HY107" s="72"/>
      <c r="HZ107" s="73"/>
      <c r="IA107" s="74"/>
      <c r="IB107" s="50"/>
      <c r="IC107" s="72"/>
      <c r="ID107" s="73"/>
      <c r="IE107" s="74"/>
      <c r="IF107" s="72"/>
      <c r="IG107" s="73"/>
      <c r="IH107" s="74"/>
      <c r="II107" s="72"/>
      <c r="IJ107" s="73"/>
      <c r="IK107" s="74"/>
      <c r="IL107" s="72"/>
      <c r="IM107" s="73"/>
      <c r="IN107" s="74"/>
      <c r="IO107" s="50"/>
      <c r="IP107" s="75"/>
      <c r="IQ107" s="76"/>
      <c r="IR107" s="77"/>
      <c r="IS107" s="72"/>
      <c r="IT107" s="73"/>
      <c r="IU107" s="74"/>
      <c r="IV107" s="53"/>
    </row>
    <row r="108" spans="1:256" s="78" customFormat="1" ht="14.25">
      <c r="A108" s="70"/>
      <c r="B108" s="71" t="s">
        <v>428</v>
      </c>
      <c r="C108" s="72"/>
      <c r="D108" s="73"/>
      <c r="E108" s="74"/>
      <c r="F108" s="72"/>
      <c r="G108" s="73"/>
      <c r="H108" s="74"/>
      <c r="I108" s="72"/>
      <c r="J108" s="73"/>
      <c r="K108" s="74"/>
      <c r="L108" s="72"/>
      <c r="M108" s="73"/>
      <c r="N108" s="74"/>
      <c r="O108" s="50"/>
      <c r="P108" s="72"/>
      <c r="Q108" s="73"/>
      <c r="R108" s="74"/>
      <c r="S108" s="72"/>
      <c r="T108" s="73"/>
      <c r="U108" s="74"/>
      <c r="V108" s="72"/>
      <c r="W108" s="73"/>
      <c r="X108" s="74">
        <f>X106-X107</f>
        <v>-289.6037733333333</v>
      </c>
      <c r="Y108" s="72"/>
      <c r="Z108" s="73"/>
      <c r="AA108" s="74">
        <f>AA106-AA107</f>
        <v>-1158.4150933333333</v>
      </c>
      <c r="AB108" s="50">
        <f t="shared" si="158"/>
        <v>-1158.4150933333333</v>
      </c>
      <c r="AC108" s="72"/>
      <c r="AD108" s="73"/>
      <c r="AE108" s="74">
        <f>AE106-AE107</f>
        <v>-868.81132</v>
      </c>
      <c r="AF108" s="72"/>
      <c r="AG108" s="73"/>
      <c r="AH108" s="74">
        <f>AH106-AH107</f>
        <v>-1737.62264</v>
      </c>
      <c r="AI108" s="72"/>
      <c r="AJ108" s="73"/>
      <c r="AK108" s="74">
        <f>AK106-AK107</f>
        <v>-5822.2401895</v>
      </c>
      <c r="AL108" s="72"/>
      <c r="AM108" s="73"/>
      <c r="AN108" s="74">
        <f>AN106-AN107</f>
        <v>-5079.100378458337</v>
      </c>
      <c r="AO108" s="50">
        <f t="shared" si="143"/>
        <v>-5079.100378458337</v>
      </c>
      <c r="AP108" s="72"/>
      <c r="AQ108" s="73"/>
      <c r="AR108" s="74">
        <f>AR106-AR107</f>
        <v>18285.261629833334</v>
      </c>
      <c r="AS108" s="72"/>
      <c r="AT108" s="73"/>
      <c r="AU108" s="74">
        <f>AU106-AU107</f>
        <v>28803.426355124997</v>
      </c>
      <c r="AV108" s="72"/>
      <c r="AW108" s="73"/>
      <c r="AX108" s="74">
        <f>AX106-AX107</f>
        <v>22912.963181458326</v>
      </c>
      <c r="AY108" s="72"/>
      <c r="AZ108" s="73"/>
      <c r="BA108" s="74">
        <f>BA106-BA107</f>
        <v>24502.379630625</v>
      </c>
      <c r="BB108" s="50">
        <f t="shared" si="144"/>
        <v>24502.379630625</v>
      </c>
      <c r="BC108" s="72"/>
      <c r="BD108" s="73"/>
      <c r="BE108" s="74">
        <f>BE106-BE107</f>
        <v>39471.10067799997</v>
      </c>
      <c r="BF108" s="72"/>
      <c r="BG108" s="73"/>
      <c r="BH108" s="74">
        <f>BH106-BH107</f>
        <v>62312.03908204164</v>
      </c>
      <c r="BI108" s="72"/>
      <c r="BJ108" s="73"/>
      <c r="BK108" s="74">
        <f>BK106-BK107</f>
        <v>60202.29856479163</v>
      </c>
      <c r="BL108" s="72"/>
      <c r="BM108" s="73"/>
      <c r="BN108" s="74">
        <f>BN106-BN107</f>
        <v>61791.714872291646</v>
      </c>
      <c r="BO108" s="50">
        <f t="shared" si="145"/>
        <v>61791.714872291646</v>
      </c>
      <c r="BP108" s="72"/>
      <c r="BQ108" s="73"/>
      <c r="BR108" s="74">
        <f>BR106-BR107</f>
        <v>38981.48274662497</v>
      </c>
      <c r="BS108" s="72"/>
      <c r="BT108" s="73"/>
      <c r="BU108" s="74">
        <f>BU106-BU107</f>
        <v>62287.28469291664</v>
      </c>
      <c r="BV108" s="72"/>
      <c r="BW108" s="73"/>
      <c r="BX108" s="74">
        <f>BX106-BX107</f>
        <v>60217.734502541636</v>
      </c>
      <c r="BY108" s="72"/>
      <c r="BZ108" s="73"/>
      <c r="CA108" s="74">
        <f>CA106-CA107</f>
        <v>61807.150810041654</v>
      </c>
      <c r="CB108" s="50">
        <f t="shared" si="146"/>
        <v>61807.150810041654</v>
      </c>
      <c r="CC108" s="72"/>
      <c r="CD108" s="73"/>
      <c r="CE108" s="74">
        <f>CE106-CE107</f>
        <v>38981.48274662497</v>
      </c>
      <c r="CF108" s="72"/>
      <c r="CG108" s="73"/>
      <c r="CH108" s="74">
        <f>CH106-CH107</f>
        <v>62287.28469291664</v>
      </c>
      <c r="CI108" s="72"/>
      <c r="CJ108" s="73"/>
      <c r="CK108" s="74">
        <f>CK106-CK107</f>
        <v>59801.65132404163</v>
      </c>
      <c r="CL108" s="72"/>
      <c r="CM108" s="73"/>
      <c r="CN108" s="74">
        <f>CN106-CN107</f>
        <v>61836.27005691665</v>
      </c>
      <c r="CO108" s="50">
        <f t="shared" si="147"/>
        <v>61836.27005691665</v>
      </c>
      <c r="CP108" s="72"/>
      <c r="CQ108" s="73"/>
      <c r="CR108" s="74">
        <f>CR106-CR107</f>
        <v>38981.48274662497</v>
      </c>
      <c r="CS108" s="72"/>
      <c r="CT108" s="73"/>
      <c r="CU108" s="74">
        <f>CU106-CU107</f>
        <v>61822.42115066664</v>
      </c>
      <c r="CV108" s="72"/>
      <c r="CW108" s="73"/>
      <c r="CX108" s="74">
        <f>CX106-CX107</f>
        <v>59773.898324041635</v>
      </c>
      <c r="CY108" s="72"/>
      <c r="CZ108" s="73"/>
      <c r="DA108" s="74">
        <f>DA106-DA107</f>
        <v>61917.36009791665</v>
      </c>
      <c r="DB108" s="50">
        <f t="shared" si="148"/>
        <v>61917.36009791665</v>
      </c>
      <c r="DC108" s="72"/>
      <c r="DD108" s="73"/>
      <c r="DE108" s="74">
        <f>DE106-DE107</f>
        <v>38981.48274662497</v>
      </c>
      <c r="DF108" s="72"/>
      <c r="DG108" s="73"/>
      <c r="DH108" s="74">
        <f>DH106-DH107</f>
        <v>61822.42115066664</v>
      </c>
      <c r="DI108" s="72"/>
      <c r="DJ108" s="73"/>
      <c r="DK108" s="74">
        <f>DK106-DK107</f>
        <v>59773.898324041635</v>
      </c>
      <c r="DL108" s="72"/>
      <c r="DM108" s="73"/>
      <c r="DN108" s="74">
        <f>DN106-DN107</f>
        <v>61363.31463154165</v>
      </c>
      <c r="DO108" s="50">
        <f t="shared" si="149"/>
        <v>61363.31463154165</v>
      </c>
      <c r="DP108" s="72"/>
      <c r="DQ108" s="73"/>
      <c r="DR108" s="74">
        <f>DR106-DR107</f>
        <v>39471.10067799997</v>
      </c>
      <c r="DS108" s="72"/>
      <c r="DT108" s="73"/>
      <c r="DU108" s="74">
        <f>DU106-DU107</f>
        <v>62312.03908204164</v>
      </c>
      <c r="DV108" s="72"/>
      <c r="DW108" s="73"/>
      <c r="DX108" s="74">
        <f>DX106-DX107</f>
        <v>60202.29856479163</v>
      </c>
      <c r="DY108" s="72"/>
      <c r="DZ108" s="73"/>
      <c r="EA108" s="74">
        <f>EA106-EA107</f>
        <v>61791.714872291646</v>
      </c>
      <c r="EB108" s="50">
        <f t="shared" si="150"/>
        <v>61791.714872291646</v>
      </c>
      <c r="EC108" s="72"/>
      <c r="ED108" s="73"/>
      <c r="EE108" s="74">
        <f>EE106-EE107</f>
        <v>39471.10067799997</v>
      </c>
      <c r="EF108" s="72"/>
      <c r="EG108" s="73"/>
      <c r="EH108" s="74">
        <f>EH106-EH107</f>
        <v>62312.03908204164</v>
      </c>
      <c r="EI108" s="72"/>
      <c r="EJ108" s="73"/>
      <c r="EK108" s="74">
        <f>EK106-EK107</f>
        <v>60242.48889166664</v>
      </c>
      <c r="EL108" s="72"/>
      <c r="EM108" s="73"/>
      <c r="EN108" s="74">
        <f>EN106-EN107</f>
        <v>61831.905199166664</v>
      </c>
      <c r="EO108" s="50">
        <f t="shared" si="151"/>
        <v>61831.905199166664</v>
      </c>
      <c r="EP108" s="72"/>
      <c r="EQ108" s="73"/>
      <c r="ER108" s="74">
        <f>ER106-ER107</f>
        <v>38981.48274662497</v>
      </c>
      <c r="ES108" s="72"/>
      <c r="ET108" s="73"/>
      <c r="EU108" s="74">
        <f>EU106-EU107</f>
        <v>62287.28469291664</v>
      </c>
      <c r="EV108" s="72"/>
      <c r="EW108" s="73"/>
      <c r="EX108" s="74">
        <f>EX106-EX107</f>
        <v>60165.60740374164</v>
      </c>
      <c r="EY108" s="72"/>
      <c r="EZ108" s="73"/>
      <c r="FA108" s="74">
        <f>FA106-FA107</f>
        <v>61218.85926644162</v>
      </c>
      <c r="FB108" s="50">
        <f t="shared" si="152"/>
        <v>61218.85926644162</v>
      </c>
      <c r="FC108" s="72"/>
      <c r="FD108" s="73"/>
      <c r="FE108" s="74">
        <f>FE106-FE107</f>
        <v>38981.48274662497</v>
      </c>
      <c r="FF108" s="72"/>
      <c r="FG108" s="73"/>
      <c r="FH108" s="74">
        <f>FH106-FH107</f>
        <v>62287.28469291664</v>
      </c>
      <c r="FI108" s="72"/>
      <c r="FJ108" s="73"/>
      <c r="FK108" s="74">
        <f>FK106-FK107</f>
        <v>59801.65132404163</v>
      </c>
      <c r="FL108" s="72"/>
      <c r="FM108" s="73"/>
      <c r="FN108" s="74">
        <f>FN106-FN107</f>
        <v>61836.27005691665</v>
      </c>
      <c r="FO108" s="50">
        <f t="shared" si="153"/>
        <v>61836.27005691665</v>
      </c>
      <c r="FP108" s="72"/>
      <c r="FQ108" s="73"/>
      <c r="FR108" s="74">
        <f>FR106-FR107</f>
        <v>38981.48274662497</v>
      </c>
      <c r="FS108" s="72"/>
      <c r="FT108" s="73"/>
      <c r="FU108" s="74">
        <f>FU106-FU107</f>
        <v>61822.42115066664</v>
      </c>
      <c r="FV108" s="72"/>
      <c r="FW108" s="73"/>
      <c r="FX108" s="74">
        <f>FX106-FX107</f>
        <v>59773.898324041635</v>
      </c>
      <c r="FY108" s="72"/>
      <c r="FZ108" s="73"/>
      <c r="GA108" s="74">
        <f>GA106-GA107</f>
        <v>61917.36009791665</v>
      </c>
      <c r="GB108" s="50">
        <f t="shared" si="154"/>
        <v>61917.36009791665</v>
      </c>
      <c r="GC108" s="72"/>
      <c r="GD108" s="73"/>
      <c r="GE108" s="74">
        <f>GE106-GE107</f>
        <v>38981.48274662497</v>
      </c>
      <c r="GF108" s="72"/>
      <c r="GG108" s="73"/>
      <c r="GH108" s="74">
        <f>GH106-GH107</f>
        <v>61822.42115066664</v>
      </c>
      <c r="GI108" s="72"/>
      <c r="GJ108" s="73"/>
      <c r="GK108" s="74">
        <f>GK106-GK107</f>
        <v>59712.680633416625</v>
      </c>
      <c r="GL108" s="72"/>
      <c r="GM108" s="73"/>
      <c r="GN108" s="74">
        <f>GN106-GN107</f>
        <v>61302.09694091664</v>
      </c>
      <c r="GO108" s="50">
        <f t="shared" si="155"/>
        <v>61302.09694091664</v>
      </c>
      <c r="GP108" s="72"/>
      <c r="GQ108" s="73"/>
      <c r="GR108" s="74">
        <f>GR106-GR107</f>
        <v>39471.10067799997</v>
      </c>
      <c r="GS108" s="72"/>
      <c r="GT108" s="73"/>
      <c r="GU108" s="74">
        <f>GU106-GU107</f>
        <v>62312.03908204164</v>
      </c>
      <c r="GV108" s="72"/>
      <c r="GW108" s="73"/>
      <c r="GX108" s="74">
        <f>GX106-GX107</f>
        <v>60202.29856479163</v>
      </c>
      <c r="GY108" s="72"/>
      <c r="GZ108" s="73"/>
      <c r="HA108" s="74">
        <f>HA106-HA107</f>
        <v>61791.714872291646</v>
      </c>
      <c r="HB108" s="50">
        <f t="shared" si="156"/>
        <v>61791.714872291646</v>
      </c>
      <c r="HC108" s="49">
        <f t="shared" si="157"/>
        <v>758670.5959334831</v>
      </c>
      <c r="HD108" s="73"/>
      <c r="HE108" s="74"/>
      <c r="HF108" s="72"/>
      <c r="HG108" s="73"/>
      <c r="HH108" s="74"/>
      <c r="HI108" s="72"/>
      <c r="HJ108" s="73"/>
      <c r="HK108" s="74"/>
      <c r="HL108" s="72"/>
      <c r="HM108" s="73"/>
      <c r="HN108" s="74"/>
      <c r="HO108" s="50"/>
      <c r="HP108" s="72"/>
      <c r="HQ108" s="73"/>
      <c r="HR108" s="74"/>
      <c r="HS108" s="72"/>
      <c r="HT108" s="73"/>
      <c r="HU108" s="74"/>
      <c r="HV108" s="72"/>
      <c r="HW108" s="73"/>
      <c r="HX108" s="74"/>
      <c r="HY108" s="72"/>
      <c r="HZ108" s="73"/>
      <c r="IA108" s="74"/>
      <c r="IB108" s="50"/>
      <c r="IC108" s="72"/>
      <c r="ID108" s="73"/>
      <c r="IE108" s="74"/>
      <c r="IF108" s="72"/>
      <c r="IG108" s="73"/>
      <c r="IH108" s="74"/>
      <c r="II108" s="72"/>
      <c r="IJ108" s="73"/>
      <c r="IK108" s="74"/>
      <c r="IL108" s="72"/>
      <c r="IM108" s="73"/>
      <c r="IN108" s="74"/>
      <c r="IO108" s="50"/>
      <c r="IP108" s="75"/>
      <c r="IQ108" s="76"/>
      <c r="IR108" s="77"/>
      <c r="IS108" s="72"/>
      <c r="IT108" s="73"/>
      <c r="IU108" s="74"/>
      <c r="IV108" s="53"/>
    </row>
    <row r="109" spans="1:256" s="78" customFormat="1" ht="14.25">
      <c r="A109" s="70"/>
      <c r="B109" s="71" t="s">
        <v>429</v>
      </c>
      <c r="C109" s="72"/>
      <c r="D109" s="73"/>
      <c r="E109" s="74"/>
      <c r="F109" s="72"/>
      <c r="G109" s="73"/>
      <c r="H109" s="74"/>
      <c r="I109" s="72"/>
      <c r="J109" s="73"/>
      <c r="K109" s="74">
        <f>(K14+K15+K16+K17+K18+K19+K20+K22)/120*100+K13+K21</f>
        <v>418.22416000000004</v>
      </c>
      <c r="L109" s="72"/>
      <c r="M109" s="73"/>
      <c r="N109" s="74">
        <f>K109+(L14+M14+N14+L15+M15+N15+L16+M16+N16+L17+M17+N17+L19+M19+N19+L20+M20+N20+L22+M22+N22)/120*100+L13+M13+N13+L21+M21+N21</f>
        <v>1547.89664</v>
      </c>
      <c r="O109" s="50">
        <f>N109</f>
        <v>1547.89664</v>
      </c>
      <c r="P109" s="72"/>
      <c r="Q109" s="73"/>
      <c r="R109" s="74">
        <f>(P14+Q14+R14+P15+Q15+R15+P16+Q16+R16+P17+Q17+R17+P19+Q19+R19+P20+Q20+R20+P22+Q22+R22)/120*100+P13+Q13+R13+P21+Q21+R21</f>
        <v>1129.67248</v>
      </c>
      <c r="S109" s="72"/>
      <c r="T109" s="73"/>
      <c r="U109" s="74">
        <f>R109+(S14+T14+U14+S15+T15+U15+S16+T16+U16+S17+T17+U17+S19+T19+U19+S20+T20+U20+S22+T22+U22)/120*100+S13+T13+U13+S21+T21+U21</f>
        <v>2259.34496</v>
      </c>
      <c r="V109" s="72"/>
      <c r="W109" s="73"/>
      <c r="X109" s="74">
        <f>U109+(V14+W14+X14+V15+W15+X15+V16+W16+X16+V17+W17+X17+X18+V19+W19+X19+V20+W20+X20+V22+W22+X22)/120*100+V13+W13+X13+V21+W21+X21</f>
        <v>3739.45856</v>
      </c>
      <c r="Y109" s="72"/>
      <c r="Z109" s="73"/>
      <c r="AA109" s="74">
        <f>X109+(Y14+Z14+AA14+Y15+Z15+AA15+Y16+Z16+AA16+Y17+Z17+AA17+Y19+Z19+AA19+Y20+Z20+Y22+Z22+AA22)/120*100+Y13+Z13+AA13+Y21+Z21+AA21</f>
        <v>5792.9544</v>
      </c>
      <c r="AB109" s="50">
        <f t="shared" si="158"/>
        <v>5792.9544</v>
      </c>
      <c r="AC109" s="72"/>
      <c r="AD109" s="73"/>
      <c r="AE109" s="74">
        <f>(AC14+AD14+AE14+AC15+AD15+AE15+AC16+AD16+AE16+AC17+AD17+AE17+AC19+AD19+AE19+AC20+AD20+AE20+AC22+AD22+AE22)/120*100+AC13+AD13+AE13+AC21+AD21+AE21</f>
        <v>2055.9958400000005</v>
      </c>
      <c r="AF109" s="72"/>
      <c r="AG109" s="73"/>
      <c r="AH109" s="74">
        <f>AE109+(AF14+AG14+AH14+AF15+AG15+AH15+AF16+AG16+AH16+AF17+AG17+AH17+AF19+AG19+AH19+AF20+AG20+AH20+AF22+AG22+AH22)/120*100+AF13+AG13+AH13+AF21+AG21+AH21</f>
        <v>4111.99168</v>
      </c>
      <c r="AI109" s="72"/>
      <c r="AJ109" s="73"/>
      <c r="AK109" s="74">
        <f>AH109+(AI14+AJ14+AK14+AI15+AJ15+AK15+AI16+AJ16+AK16+AI17+AJ17+AK17+AK18+AI19+AJ19+AK19+AI20+AJ20+AK20+AI22+AJ22+AK22)/120*100+AI13+AJ13+AK13+AI21+AJ21+AK21</f>
        <v>6363.216413333333</v>
      </c>
      <c r="AL109" s="72"/>
      <c r="AM109" s="73"/>
      <c r="AN109" s="74">
        <f>AK109+(AL14+AM14+AN14+AL15+AM15+AN15+AL16+AM16+AN16+AL17+AM17+AN17+AL19+AM19+AN19+AL20+AM20+AN20+AL22+AM22+AN22)/120*100+AL13+AM13+AN13+AL21+AM21+AN21</f>
        <v>8879.898933333332</v>
      </c>
      <c r="AO109" s="50">
        <f t="shared" si="143"/>
        <v>8879.898933333332</v>
      </c>
      <c r="AP109" s="72"/>
      <c r="AQ109" s="73"/>
      <c r="AR109" s="74">
        <f>(AP14+AQ14+AR14+AP15+AQ15+AR15+AP16+AQ16+AR16+AP17+AQ17+AR17+AP19+AQ19+AR19+AP20+AQ20+AR20+AP22+AQ22+AR22)/120*100+AP13+AQ13+AR13+AP21+AQ21+AR21</f>
        <v>2516.6825200000003</v>
      </c>
      <c r="AS109" s="72"/>
      <c r="AT109" s="73"/>
      <c r="AU109" s="74">
        <f>AR109+(AS14+AT14+AU14+AS15+AT15+AU15+AS16+AT16+AU16+AS17+AT17+AU17+AS19+AT19+AU19+AS20+AT20+AU20+AS22+AT22+AU22)/120*100+AS13+AT13+AU13+AS21+AT21+AU21</f>
        <v>5033.365040000001</v>
      </c>
      <c r="AV109" s="72"/>
      <c r="AW109" s="73"/>
      <c r="AX109" s="74">
        <f>AU109+(AV14+AW14+AX14+AV15+AW15+AX15+AV16+AW16+AX16+AV17+AW17+AX17+AX18+AV19+AW19+AX19+AV20+AW20+AX20+AV22+AW22+AX22)/120*100+AV13+AW13+AX13+AV21+AW21+AX21</f>
        <v>7591.714226666667</v>
      </c>
      <c r="AY109" s="72"/>
      <c r="AZ109" s="73"/>
      <c r="BA109" s="74">
        <f>AX109+(AY14+AZ14+BA14+AY15+AZ15+BA15+AY16+AZ16+BA16+AY17+AZ17+BA17+AY19+AZ19+BA19+AY20+AZ20+BA20+AY22+AZ22+BA22)/120*100+AY13+AZ13+BA13+AY21+AZ21+BA21</f>
        <v>10108.396746666669</v>
      </c>
      <c r="BB109" s="50">
        <f t="shared" si="144"/>
        <v>10108.396746666669</v>
      </c>
      <c r="BC109" s="72"/>
      <c r="BD109" s="73"/>
      <c r="BE109" s="74">
        <f>(BC14+BD14+BE14+BC15+BD15+BE15+BC16+BD16+BE16+BC17+BD17+BE17+BC19+BD19+BE19+BC20+BD20+BE20+BC22+BD22+BE22)/120*100+BC13+BD13+BE13+BC21+BD21+BE21</f>
        <v>2516.6825200000003</v>
      </c>
      <c r="BF109" s="72"/>
      <c r="BG109" s="73"/>
      <c r="BH109" s="74">
        <f>BE109+(BF14+BG14+BH14+BF15+BG15+BH15+BF16+BG16+BH16+BF17+BG17+BH17+BF19+BG19+BH19+BF20+BG20+BH20+BF22+BG22+BH22)/120*100+BF13+BG13+BH13+BF21+BG21+BH21</f>
        <v>5033.365040000001</v>
      </c>
      <c r="BI109" s="72"/>
      <c r="BJ109" s="73"/>
      <c r="BK109" s="74">
        <f>BH109+(BI14+BJ14+BK14+BI15+BJ15+BK15+BI16+BJ16+BK16+BI17+BJ17+BK17+BK18+BI19+BJ19+BK19+BI20+BJ20+BK20+BI22+BJ22+BK22)/120*100+BI13+BJ13+BK13+BI21+BJ21+BK21</f>
        <v>7591.714226666667</v>
      </c>
      <c r="BL109" s="72"/>
      <c r="BM109" s="73"/>
      <c r="BN109" s="74">
        <f>BK109+(BL14+BM14+BN14+BL15+BM15+BN15+BL16+BM16+BN16+BL17+BM17+BN17+BL19+BM19+BN19+BL20+BM20+BN20+BL22+BM22+BN22)/120*100+BL13+BM13+BN13+BL21+BM21+BN21</f>
        <v>10108.396746666669</v>
      </c>
      <c r="BO109" s="50">
        <f t="shared" si="145"/>
        <v>10108.396746666669</v>
      </c>
      <c r="BP109" s="72"/>
      <c r="BQ109" s="73"/>
      <c r="BR109" s="74">
        <f>(BP14+BQ14+BR14+BP15+BQ15+BR15+BP16+BQ16+BR16+BP17+BQ17+BR17+BP19+BQ19+BR19+BP20+BQ20+BR20+BP22+BQ22+BR22)/120*100+BP13+BQ13+BR13+BP21+BQ21+BR21</f>
        <v>2516.6825200000003</v>
      </c>
      <c r="BS109" s="72"/>
      <c r="BT109" s="73"/>
      <c r="BU109" s="74">
        <f>BR109+(BS14+BT14+BU14+BS15+BT15+BU15+BS16+BT16+BU16+BS17+BT17+BU17+BS19+BT19+BU19+BS20+BT20+BU20+BS22+BT22+BU22)/120*100+BS13+BT13+BU13+BS21+BT21+BU21</f>
        <v>5033.365040000001</v>
      </c>
      <c r="BV109" s="72"/>
      <c r="BW109" s="73"/>
      <c r="BX109" s="74">
        <f>BU109+(BV14+BW14+BX14+BV15+BW15+BX15+BV16+BW16+BX16+BV17+BW17+BX17+BX18+BV19+BW19+BX19+BV20+BW20+BX20+BV22+BW22+BX22)/120*100+BV13+BW13+BX13+BV21+BW21+BX21</f>
        <v>7591.714226666667</v>
      </c>
      <c r="BY109" s="72"/>
      <c r="BZ109" s="73"/>
      <c r="CA109" s="74">
        <f>BX109+(BY14+BZ14+CA14+BY15+BZ15+CA15+BY16+BZ16+CA16+BY17+BZ17+CA17+BY19+BZ19+CA19+BY20+BZ20+CA20+BY22+BZ22+CA22)/120*100+BY13+BZ13+CA13+BY21+BZ21+CA21</f>
        <v>10108.396746666669</v>
      </c>
      <c r="CB109" s="50">
        <f t="shared" si="146"/>
        <v>10108.396746666669</v>
      </c>
      <c r="CC109" s="72"/>
      <c r="CD109" s="73"/>
      <c r="CE109" s="74">
        <f>(CC14+CD14+CE14+CC15+CD15+CE15+CC16+CD16+CE16+CC17+CD17+CE17+CC19+CD19+CE19+CC20+CD20+CE20+CC22+CD22+CE22)/120*100+CC13+CD13+CE13+CC21+CD21+CE21</f>
        <v>2516.6825200000003</v>
      </c>
      <c r="CF109" s="72"/>
      <c r="CG109" s="73"/>
      <c r="CH109" s="74">
        <f>CE109+(CF14+CG14+CH14+CF15+CG15+CH15+CF16+CG16+CH16+CF17+CG17+CH17+CF19+CG19+CH19+CF20+CG20+CH20+CF22+CG22+CH22)/120*100+CF13+CG13+CH13+CF21+CG21+CH21</f>
        <v>5033.365040000001</v>
      </c>
      <c r="CI109" s="72"/>
      <c r="CJ109" s="73"/>
      <c r="CK109" s="74">
        <f>CH109+(CI14+CJ14+CK14+CI15+CJ15+CK15+CI16+CJ16+CK16+CI17+CJ17+CK17+CK18+CI19+CJ19+CK19+CI20+CJ20+CK20+CI22+CJ22+CK22)/120*100+CI13+CJ13+CK13+CI21+CJ21+CK21</f>
        <v>7591.714226666667</v>
      </c>
      <c r="CL109" s="72"/>
      <c r="CM109" s="73"/>
      <c r="CN109" s="74">
        <f>CK109+(CL14+CM14+CN14+CL15+CM15+CN15+CL16+CM16+CN16+CL17+CM17+CN17+CL19+CM19+CN19+CL20+CM20+CN20+CL22+CM22+CN22)/120*100+CL13+CM13+CN13+CL21+CM21+CN21</f>
        <v>10108.396746666669</v>
      </c>
      <c r="CO109" s="50">
        <f t="shared" si="147"/>
        <v>10108.396746666669</v>
      </c>
      <c r="CP109" s="72"/>
      <c r="CQ109" s="73"/>
      <c r="CR109" s="74">
        <f>(CP14+CQ14+CR14+CP15+CQ15+CR15+CP16+CQ16+CR16+CP17+CQ17+CR17+CP19+CQ19+CR19+CP20+CQ20+CR20+CP22+CQ22+CR22)/120*100+CP13+CQ13+CR13+CP21+CQ21+CR21</f>
        <v>2516.6825200000003</v>
      </c>
      <c r="CS109" s="72"/>
      <c r="CT109" s="73"/>
      <c r="CU109" s="74">
        <f>CR109+(CS14+CT14+CU14+CS15+CT15+CU15+CS16+CT16+CU16+CS17+CT17+CU17+CS19+CT19+CU19+CS20+CT20+CU20+CS22+CT22+CU22)/120*100+CS13+CT13+CU13+CS21+CT21+CU21</f>
        <v>5033.365040000001</v>
      </c>
      <c r="CV109" s="72"/>
      <c r="CW109" s="73"/>
      <c r="CX109" s="74">
        <f>CU109+(CV14+CW14+CX14+CV15+CW15+CX15+CV16+CW16+CX16+CV17+CW17+CX17+CX18+CV19+CW19+CX19+CV20+CW20+CX20+CV22+CW22+CX22)/120*100+CV13+CW13+CX13+CV21+CW21+CX21</f>
        <v>7591.714226666667</v>
      </c>
      <c r="CY109" s="72"/>
      <c r="CZ109" s="73"/>
      <c r="DA109" s="74">
        <f>CX109+(CY14+CZ14+DA14+CY15+CZ15+DA15+CY16+CZ16+DA16+CY17+CZ17+DA17+CY19+CZ19+DA19+CY20+CZ20+DA20+CY22+CZ22+DA22)/120*100+CY13+CZ13+DA13+CY21+CZ21+DA21</f>
        <v>10108.396746666669</v>
      </c>
      <c r="DB109" s="50">
        <f t="shared" si="148"/>
        <v>10108.396746666669</v>
      </c>
      <c r="DC109" s="72"/>
      <c r="DD109" s="73"/>
      <c r="DE109" s="74">
        <f>(DC14+DD14+DE14+DC15+DD15+DE15+DC16+DD16+DE16+DC17+DD17+DE17+DC19+DD19+DE19+DC20+DD20+DE20+DC22+DD22+DE22)/120*100+DC13+DD13+DE13+DC21+DD21+DE21</f>
        <v>2516.6825200000003</v>
      </c>
      <c r="DF109" s="72"/>
      <c r="DG109" s="73"/>
      <c r="DH109" s="74">
        <f>DE109+(DF14+DG14+DH14+DF15+DG15+DH15+DF16+DG16+DH16+DF17+DG17+DH17+DF19+DG19+DH19+DF20+DG20+DH20+DF22+DG22+DH22)/120*100+DF13+DG13+DH13+DF21+DG21+DH21</f>
        <v>5033.365040000001</v>
      </c>
      <c r="DI109" s="72"/>
      <c r="DJ109" s="73"/>
      <c r="DK109" s="74">
        <f>DH109+(DI14+DJ14+DK14+DI15+DJ15+DK15+DI16+DJ16+DK16+DI17+DJ17+DK17+DK18+DI19+DJ19+DK19+DI20+DJ20+DK20+DI22+DJ22+DK22)/120*100+DI13+DJ13+DK13+DI21+DJ21+DK21</f>
        <v>7591.714226666667</v>
      </c>
      <c r="DL109" s="72"/>
      <c r="DM109" s="73"/>
      <c r="DN109" s="74">
        <f>DK109+(DL14+DM14+DN14+DL15+DM15+DN15+DL16+DM16+DN16+DL17+DM17+DN17+DL19+DM19+DN19+DL20+DM20+DN20+DL22+DM22+DN22)/120*100+DL13+DM13+DN13+DL21+DM21+DN21</f>
        <v>10108.396746666669</v>
      </c>
      <c r="DO109" s="50">
        <f t="shared" si="149"/>
        <v>10108.396746666669</v>
      </c>
      <c r="DP109" s="72"/>
      <c r="DQ109" s="73"/>
      <c r="DR109" s="74">
        <f>(DP14+DQ14+DR14+DP15+DQ15+DR15+DP16+DQ16+DR16+DP17+DQ17+DR17+DP19+DQ19+DR19+DP20+DQ20+DR20+DP22+DQ22+DR22)/120*100+DP13+DQ13+DR13+DP21+DQ21+DR21</f>
        <v>2516.6825200000003</v>
      </c>
      <c r="DS109" s="72"/>
      <c r="DT109" s="73"/>
      <c r="DU109" s="74">
        <f>DR109+(DS14+DT14+DU14+DS15+DT15+DU15+DS16+DT16+DU16+DS17+DT17+DU17+DS19+DT19+DU19+DS20+DT20+DU20+DS22+DT22+DU22)/120*100+DS13+DT13+DU13+DS21+DT21+DU21</f>
        <v>5033.365040000001</v>
      </c>
      <c r="DV109" s="72"/>
      <c r="DW109" s="73"/>
      <c r="DX109" s="74">
        <f>DU109+(DV14+DW14+DX14+DV15+DW15+DX15+DV16+DW16+DX16+DV17+DW17+DX17+DX18+DV19+DW19+DX19+DV20+DW20+DX20+DV22+DW22+DX22)/120*100+DV13+DW13+DX13+DV21+DW21+DX21</f>
        <v>7591.714226666667</v>
      </c>
      <c r="DY109" s="72"/>
      <c r="DZ109" s="73"/>
      <c r="EA109" s="74">
        <f>DX109+(DY14+DZ14+EA14+DY15+DZ15+EA15+DY16+DZ16+EA16+DY17+DZ17+EA17+DY19+DZ19+EA19+DY20+DZ20+EA20+DY22+DZ22+EA22)/120*100+DY13+DZ13+EA13+DY21+DZ21+EA21</f>
        <v>10108.396746666669</v>
      </c>
      <c r="EB109" s="50">
        <f t="shared" si="150"/>
        <v>10108.396746666669</v>
      </c>
      <c r="EC109" s="72"/>
      <c r="ED109" s="73"/>
      <c r="EE109" s="74">
        <f>(EC14+ED14+EE14+EC15+ED15+EE15+EC16+ED16+EE16+EC17+ED17+EE17+EC19+ED19+EE19+EC20+ED20+EE20+EC22+ED22+EE22)/120*100+EC13+ED13+EE13+EC21+ED21+EE21</f>
        <v>2516.6825200000003</v>
      </c>
      <c r="EF109" s="72"/>
      <c r="EG109" s="73"/>
      <c r="EH109" s="74">
        <f>EE109+(EF14+EG14+EH14+EF15+EG15+EH15+EF16+EG16+EH16+EF17+EG17+EH17+EF19+EG19+EH19+EF20+EG20+EH20+EF22+EG22+EH22)/120*100+EF13+EG13+EH13+EF21+EG21+EH21</f>
        <v>5033.365040000001</v>
      </c>
      <c r="EI109" s="72"/>
      <c r="EJ109" s="73"/>
      <c r="EK109" s="74">
        <f>EH109+(EI14+EJ14+EK14+EI15+EJ15+EK15+EI16+EJ16+EK16+EI17+EJ17+EK17+EK18+EI19+EJ19+EK19+EI20+EJ20+EK20+EI22+EJ22+EK22)/120*100+EI13+EJ13+EK13+EI21+EJ21+EK21</f>
        <v>7591.714226666667</v>
      </c>
      <c r="EL109" s="72"/>
      <c r="EM109" s="73"/>
      <c r="EN109" s="74">
        <f>EK109+(EL14+EM14+EN14+EL15+EM15+EN15+EL16+EM16+EN16+EL17+EM17+EN17+EL19+EM19+EN19+EL20+EM20+EN20+EL22+EM22+EN22)/120*100+EL13+EM13+EN13+EL21+EM21+EN21</f>
        <v>10108.396746666669</v>
      </c>
      <c r="EO109" s="50">
        <f t="shared" si="151"/>
        <v>10108.396746666669</v>
      </c>
      <c r="EP109" s="72"/>
      <c r="EQ109" s="73"/>
      <c r="ER109" s="74">
        <f>(EP14+EQ14+ER14+EP15+EQ15+ER15+EP16+EQ16+ER16+EP17+EQ17+ER17+EP19+EQ19+ER19+EP20+EQ20+ER20+EP22+EQ22+ER22)/120*100+EP13+EQ13+ER13+EP21+EQ21+ER21</f>
        <v>2516.6825200000003</v>
      </c>
      <c r="ES109" s="72"/>
      <c r="ET109" s="73"/>
      <c r="EU109" s="74">
        <f>ER109+(ES14+ET14+EU14+ES15+ET15+EU15+ES16+ET16+EU16+ES17+ET17+EU17+ES19+ET19+EU19+ES20+ET20+EU20+ES22+ET22+EU22)/120*100+ES13+ET13+EU13+ES21+ET21+EU21</f>
        <v>5033.365040000001</v>
      </c>
      <c r="EV109" s="72"/>
      <c r="EW109" s="73"/>
      <c r="EX109" s="74">
        <f>EU109+(EV14+EW14+EX14+EV15+EW15+EX15+EV16+EW16+EX16+EV17+EW17+EX17+EX18+EV19+EW19+EX19+EV20+EW20+EX20+EV22+EW22+EX22)/120*100+EV13+EW13+EX13+EV21+EW21+EX21</f>
        <v>7591.714226666667</v>
      </c>
      <c r="EY109" s="72"/>
      <c r="EZ109" s="73"/>
      <c r="FA109" s="74">
        <f>EX109+(EY14+EZ14+FA14+EY15+EZ15+FA15+EY16+EZ16+FA16+EY17+EZ17+FA17+EY19+EZ19+FA19+EY20+EZ20+FA20+EY22+EZ22+FA22)/120*100+EY13+EZ13+FA13+EY21+EZ21+FA21</f>
        <v>10108.396746666669</v>
      </c>
      <c r="FB109" s="50">
        <f t="shared" si="152"/>
        <v>10108.396746666669</v>
      </c>
      <c r="FC109" s="72"/>
      <c r="FD109" s="73"/>
      <c r="FE109" s="74">
        <f>(FC14+FD14+FE14+FC15+FD15+FE15+FC16+FD16+FE16+FC17+FD17+FE17+FC19+FD19+FE19+FC20+FD20+FE20+FC22+FD22+FE22)/120*100+FC13+FD13+FE13+FC21+FD21+FE21</f>
        <v>2516.6825200000003</v>
      </c>
      <c r="FF109" s="72"/>
      <c r="FG109" s="73"/>
      <c r="FH109" s="74">
        <f>FE109+(FF14+FG14+FH14+FF15+FG15+FH15+FF16+FG16+FH16+FF17+FG17+FH17+FF19+FG19+FH19+FF20+FG20+FH20+FF22+FG22+FH22)/120*100+FF13+FG13+FH13+FF21+FG21+FH21</f>
        <v>5033.365040000001</v>
      </c>
      <c r="FI109" s="72"/>
      <c r="FJ109" s="73"/>
      <c r="FK109" s="74">
        <f>FH109+(FI14+FJ14+FK14+FI15+FJ15+FK15+FI16+FJ16+FK16+FI17+FJ17+FK17+FK18+FI19+FJ19+FK19+FI20+FJ20+FK20+FI22+FJ22+FK22)/120*100+FI13+FJ13+FK13+FI21+FJ21+FK21</f>
        <v>7591.714226666667</v>
      </c>
      <c r="FL109" s="72"/>
      <c r="FM109" s="73"/>
      <c r="FN109" s="74">
        <f>FK109+(FL14+FM14+FN14+FL15+FM15+FN15+FL16+FM16+FN16+FL17+FM17+FN17+FL19+FM19+FN19+FL20+FM20+FN20+FL22+FM22+FN22)/120*100+FL13+FM13+FN13+FL21+FM21+FN21</f>
        <v>10108.396746666669</v>
      </c>
      <c r="FO109" s="50">
        <f t="shared" si="153"/>
        <v>10108.396746666669</v>
      </c>
      <c r="FP109" s="72"/>
      <c r="FQ109" s="73"/>
      <c r="FR109" s="74">
        <f>(FP14+FQ14+FR14+FP15+FQ15+FR15+FP16+FQ16+FR16+FP17+FQ17+FR17+FP19+FQ19+FR19+FP20+FQ20+FR20+FP22+FQ22+FR22)/120*100+FP13+FQ13+FR13+FP21+FQ21+FR21</f>
        <v>2516.6825200000003</v>
      </c>
      <c r="FS109" s="72"/>
      <c r="FT109" s="73"/>
      <c r="FU109" s="74">
        <f>FR109+(FS14+FT14+FU14+FS15+FT15+FU15+FS16+FT16+FU16+FS17+FT17+FU17+FS19+FT19+FU19+FS20+FT20+FU20+FS22+FT22+FU22)/120*100+FS13+FT13+FU13+FS21+FT21+FU21</f>
        <v>5033.365040000001</v>
      </c>
      <c r="FV109" s="72"/>
      <c r="FW109" s="73"/>
      <c r="FX109" s="74">
        <f>FU109+(FV14+FW14+FX14+FV15+FW15+FX15+FV16+FW16+FX16+FV17+FW17+FX17+FX18+FV19+FW19+FX19+FV20+FW20+FX20+FV22+FW22+FX22)/120*100+FV13+FW13+FX13+FV21+FW21+FX21</f>
        <v>7591.714226666667</v>
      </c>
      <c r="FY109" s="72"/>
      <c r="FZ109" s="73"/>
      <c r="GA109" s="74">
        <f>FX109+(FY14+FZ14+GA14+FY15+FZ15+GA15+FY16+FZ16+GA16+FY17+FZ17+GA17+FY19+FZ19+GA19+FY20+FZ20+GA20+FY22+FZ22+GA22)/120*100+FY13+FZ13+GA13+FY21+FZ21+GA21</f>
        <v>10108.396746666669</v>
      </c>
      <c r="GB109" s="50">
        <f t="shared" si="154"/>
        <v>10108.396746666669</v>
      </c>
      <c r="GC109" s="72"/>
      <c r="GD109" s="73"/>
      <c r="GE109" s="74">
        <f>(GC14+GD14+GE14+GC15+GD15+GE15+GC16+GD16+GE16+GC17+GD17+GE17+GC19+GD19+GE19+GC20+GD20+GE20+GC22+GD22+GE22)/120*100+GC13+GD13+GE13+GC21+GD21+GE21</f>
        <v>2516.6825200000003</v>
      </c>
      <c r="GF109" s="72"/>
      <c r="GG109" s="73"/>
      <c r="GH109" s="74">
        <f>GE109+(GF14+GG14+GH14+GF15+GG15+GH15+GF16+GG16+GH16+GF17+GG17+GH17+GF19+GG19+GH19+GF20+GG20+GH20+GF22+GG22+GH22)/120*100+GF13+GG13+GH13+GF21+GG21+GH21</f>
        <v>5033.365040000001</v>
      </c>
      <c r="GI109" s="72"/>
      <c r="GJ109" s="73"/>
      <c r="GK109" s="74">
        <f>GH109+(GI14+GJ14+GK14+GI15+GJ15+GK15+GI16+GJ16+GK16+GI17+GJ17+GK17+GK18+GI19+GJ19+GK19+GI20+GJ20+GK20+GI22+GJ22+GK22)/120*100+GI13+GJ13+GK13+GI21+GJ21+GK21</f>
        <v>7591.714226666667</v>
      </c>
      <c r="GL109" s="72"/>
      <c r="GM109" s="73"/>
      <c r="GN109" s="74">
        <f>GK109+(GL14+GM14+GN14+GL15+GM15+GN15+GL16+GM16+GN16+GL17+GM17+GN17+GL19+GM19+GN19+GL20+GM20+GN20+GL22+GM22+GN22)/120*100+GL13+GM13+GN13+GL21+GM21+GN21</f>
        <v>10108.396746666669</v>
      </c>
      <c r="GO109" s="50">
        <f t="shared" si="155"/>
        <v>10108.396746666669</v>
      </c>
      <c r="GP109" s="72"/>
      <c r="GQ109" s="73"/>
      <c r="GR109" s="74">
        <f>(GP14+GQ14+GR14+GP15+GQ15+GR15+GP16+GQ16+GR16+GP17+GQ17+GR17+GP19+GQ19+GR19+GP20+GQ20+GR20+GP22+GQ22+GR22)/120*100+GP13+GQ13+GR13+GP21+GQ21+GR21</f>
        <v>2516.6825200000003</v>
      </c>
      <c r="GS109" s="72"/>
      <c r="GT109" s="73"/>
      <c r="GU109" s="74">
        <f>GR109+(GS14+GT14+GU14+GS15+GT15+GU15+GS16+GT16+GU16+GS17+GT17+GU17+GS19+GT19+GU19+GS20+GT20+GU20+GS22+GT22+GU22)/120*100+GS13+GT13+GU13+GS21+GT21+GU21</f>
        <v>5033.365040000001</v>
      </c>
      <c r="GV109" s="72"/>
      <c r="GW109" s="73"/>
      <c r="GX109" s="74">
        <f>GU109+(GV14+GW14+GX14+GV15+GW15+GX15+GV16+GW16+GX16+GV17+GW17+GX17+GX18+GV19+GW19+GX19+GV20+GW20+GX20+GV22+GW22+GX22)/120*100+GV13+GW13+GX13+GV21+GW21+GX21</f>
        <v>7591.714226666667</v>
      </c>
      <c r="GY109" s="72"/>
      <c r="GZ109" s="73"/>
      <c r="HA109" s="74">
        <f>GX109+(GY14+GZ14+HA14+GY15+GZ15+HA15+GY16+GZ16+HA16+GY17+GZ17+HA17+GY19+GZ19+HA19+GY20+GZ20+HA20+GY22+GZ22+HA22)/120*100+GY13+GZ13+HA13+GY21+GZ21+HA21</f>
        <v>10108.396746666669</v>
      </c>
      <c r="HB109" s="50">
        <f t="shared" si="156"/>
        <v>10108.396746666669</v>
      </c>
      <c r="HC109" s="49">
        <f t="shared" si="157"/>
        <v>147629.90768</v>
      </c>
      <c r="HD109" s="73"/>
      <c r="HE109" s="74"/>
      <c r="HF109" s="72"/>
      <c r="HG109" s="73"/>
      <c r="HH109" s="74"/>
      <c r="HI109" s="72"/>
      <c r="HJ109" s="73"/>
      <c r="HK109" s="74"/>
      <c r="HL109" s="72"/>
      <c r="HM109" s="73"/>
      <c r="HN109" s="74"/>
      <c r="HO109" s="50"/>
      <c r="HP109" s="72"/>
      <c r="HQ109" s="73"/>
      <c r="HR109" s="74"/>
      <c r="HS109" s="72"/>
      <c r="HT109" s="73"/>
      <c r="HU109" s="74"/>
      <c r="HV109" s="72"/>
      <c r="HW109" s="73"/>
      <c r="HX109" s="74"/>
      <c r="HY109" s="72"/>
      <c r="HZ109" s="73"/>
      <c r="IA109" s="74"/>
      <c r="IB109" s="50"/>
      <c r="IC109" s="72"/>
      <c r="ID109" s="73"/>
      <c r="IE109" s="74"/>
      <c r="IF109" s="72"/>
      <c r="IG109" s="73"/>
      <c r="IH109" s="74"/>
      <c r="II109" s="72"/>
      <c r="IJ109" s="73"/>
      <c r="IK109" s="74"/>
      <c r="IL109" s="72"/>
      <c r="IM109" s="73"/>
      <c r="IN109" s="74"/>
      <c r="IO109" s="50"/>
      <c r="IP109" s="75"/>
      <c r="IQ109" s="76"/>
      <c r="IR109" s="77"/>
      <c r="IS109" s="72"/>
      <c r="IT109" s="73"/>
      <c r="IU109" s="74"/>
      <c r="IV109" s="53"/>
    </row>
    <row r="110" spans="1:256" s="69" customFormat="1" ht="14.25">
      <c r="A110" s="64"/>
      <c r="B110" s="65" t="s">
        <v>430</v>
      </c>
      <c r="C110" s="66"/>
      <c r="D110" s="67"/>
      <c r="E110" s="68"/>
      <c r="F110" s="66"/>
      <c r="G110" s="67"/>
      <c r="H110" s="68"/>
      <c r="I110" s="66"/>
      <c r="J110" s="67"/>
      <c r="K110" s="68">
        <f>K108-K109</f>
        <v>-418.22416000000004</v>
      </c>
      <c r="L110" s="66"/>
      <c r="M110" s="67"/>
      <c r="N110" s="68">
        <f>N108-N109</f>
        <v>-1547.89664</v>
      </c>
      <c r="O110" s="50">
        <f>N110</f>
        <v>-1547.89664</v>
      </c>
      <c r="P110" s="66"/>
      <c r="Q110" s="67"/>
      <c r="R110" s="68">
        <f>R108-R109</f>
        <v>-1129.67248</v>
      </c>
      <c r="S110" s="66"/>
      <c r="T110" s="67"/>
      <c r="U110" s="68">
        <f>U108-U109</f>
        <v>-2259.34496</v>
      </c>
      <c r="V110" s="66"/>
      <c r="W110" s="67"/>
      <c r="X110" s="68">
        <f>X108-X109</f>
        <v>-4029.0623333333333</v>
      </c>
      <c r="Y110" s="66"/>
      <c r="Z110" s="67"/>
      <c r="AA110" s="68">
        <f>AA108-AA109</f>
        <v>-6951.369493333333</v>
      </c>
      <c r="AB110" s="50">
        <f t="shared" si="158"/>
        <v>-6951.369493333333</v>
      </c>
      <c r="AC110" s="66"/>
      <c r="AD110" s="67"/>
      <c r="AE110" s="68">
        <f>AE108-AE109</f>
        <v>-2924.8071600000003</v>
      </c>
      <c r="AF110" s="66"/>
      <c r="AG110" s="67"/>
      <c r="AH110" s="68">
        <f>AH108-AH109</f>
        <v>-5849.614320000001</v>
      </c>
      <c r="AI110" s="66"/>
      <c r="AJ110" s="67"/>
      <c r="AK110" s="68">
        <f>AK108-AK109</f>
        <v>-12185.456602833332</v>
      </c>
      <c r="AL110" s="66"/>
      <c r="AM110" s="67"/>
      <c r="AN110" s="68">
        <f>AN108-AN109</f>
        <v>-13958.99931179167</v>
      </c>
      <c r="AO110" s="50">
        <f t="shared" si="143"/>
        <v>-13958.99931179167</v>
      </c>
      <c r="AP110" s="66"/>
      <c r="AQ110" s="67"/>
      <c r="AR110" s="68">
        <f>AR108-AR109</f>
        <v>15768.579109833334</v>
      </c>
      <c r="AS110" s="66"/>
      <c r="AT110" s="67"/>
      <c r="AU110" s="68">
        <f>AU108-AU109</f>
        <v>23770.061315124996</v>
      </c>
      <c r="AV110" s="66"/>
      <c r="AW110" s="67"/>
      <c r="AX110" s="68">
        <f>AX108-AX109</f>
        <v>15321.24895479166</v>
      </c>
      <c r="AY110" s="66"/>
      <c r="AZ110" s="67"/>
      <c r="BA110" s="68">
        <f>BA108-BA109</f>
        <v>14393.982883958332</v>
      </c>
      <c r="BB110" s="50">
        <f t="shared" si="144"/>
        <v>14393.982883958332</v>
      </c>
      <c r="BC110" s="66"/>
      <c r="BD110" s="67"/>
      <c r="BE110" s="68">
        <f>BE108-BE109</f>
        <v>36954.41815799997</v>
      </c>
      <c r="BF110" s="66"/>
      <c r="BG110" s="67"/>
      <c r="BH110" s="68">
        <f>BH108-BH109</f>
        <v>57278.674042041646</v>
      </c>
      <c r="BI110" s="66"/>
      <c r="BJ110" s="67"/>
      <c r="BK110" s="68">
        <f>BK108-BK109</f>
        <v>52610.58433812496</v>
      </c>
      <c r="BL110" s="66"/>
      <c r="BM110" s="67"/>
      <c r="BN110" s="68">
        <f>BN108-BN109</f>
        <v>51683.31812562498</v>
      </c>
      <c r="BO110" s="50">
        <f t="shared" si="145"/>
        <v>51683.31812562498</v>
      </c>
      <c r="BP110" s="66"/>
      <c r="BQ110" s="67"/>
      <c r="BR110" s="68">
        <f>BR108-BR109</f>
        <v>36464.80022662497</v>
      </c>
      <c r="BS110" s="66"/>
      <c r="BT110" s="67"/>
      <c r="BU110" s="68">
        <f>BU108-BU109</f>
        <v>57253.91965291664</v>
      </c>
      <c r="BV110" s="66"/>
      <c r="BW110" s="67"/>
      <c r="BX110" s="68">
        <f>BX108-BX109</f>
        <v>52626.020275874966</v>
      </c>
      <c r="BY110" s="66"/>
      <c r="BZ110" s="67"/>
      <c r="CA110" s="68">
        <f>CA108-CA109</f>
        <v>51698.75406337499</v>
      </c>
      <c r="CB110" s="50">
        <f t="shared" si="146"/>
        <v>51698.75406337499</v>
      </c>
      <c r="CC110" s="66"/>
      <c r="CD110" s="67"/>
      <c r="CE110" s="68">
        <f>CE108-CE109</f>
        <v>36464.80022662497</v>
      </c>
      <c r="CF110" s="66"/>
      <c r="CG110" s="67"/>
      <c r="CH110" s="68">
        <f>CH108-CH109</f>
        <v>57253.91965291664</v>
      </c>
      <c r="CI110" s="66"/>
      <c r="CJ110" s="67"/>
      <c r="CK110" s="68">
        <f>CK108-CK109</f>
        <v>52209.93709737496</v>
      </c>
      <c r="CL110" s="66"/>
      <c r="CM110" s="67"/>
      <c r="CN110" s="68">
        <f>CN108-CN109</f>
        <v>51727.87331024998</v>
      </c>
      <c r="CO110" s="50">
        <f t="shared" si="147"/>
        <v>51727.87331024998</v>
      </c>
      <c r="CP110" s="66"/>
      <c r="CQ110" s="67"/>
      <c r="CR110" s="68">
        <f>CR108-CR109</f>
        <v>36464.80022662497</v>
      </c>
      <c r="CS110" s="66"/>
      <c r="CT110" s="67"/>
      <c r="CU110" s="68">
        <f>CU108-CU109</f>
        <v>56789.05611066664</v>
      </c>
      <c r="CV110" s="66"/>
      <c r="CW110" s="67"/>
      <c r="CX110" s="68">
        <f>CX108-CX109</f>
        <v>52182.184097374964</v>
      </c>
      <c r="CY110" s="66"/>
      <c r="CZ110" s="67"/>
      <c r="DA110" s="68">
        <f>DA108-DA109</f>
        <v>51808.963351249986</v>
      </c>
      <c r="DB110" s="50">
        <f t="shared" si="148"/>
        <v>51808.963351249986</v>
      </c>
      <c r="DC110" s="66"/>
      <c r="DD110" s="67"/>
      <c r="DE110" s="68">
        <f>DE108-DE109</f>
        <v>36464.80022662497</v>
      </c>
      <c r="DF110" s="66"/>
      <c r="DG110" s="67"/>
      <c r="DH110" s="68">
        <f>DH108-DH109</f>
        <v>56789.05611066664</v>
      </c>
      <c r="DI110" s="66"/>
      <c r="DJ110" s="67"/>
      <c r="DK110" s="68">
        <f>DK108-DK109</f>
        <v>52182.184097374964</v>
      </c>
      <c r="DL110" s="66"/>
      <c r="DM110" s="67"/>
      <c r="DN110" s="68">
        <f>DN108-DN109</f>
        <v>51254.91788487499</v>
      </c>
      <c r="DO110" s="50">
        <f t="shared" si="149"/>
        <v>51254.91788487499</v>
      </c>
      <c r="DP110" s="66"/>
      <c r="DQ110" s="67"/>
      <c r="DR110" s="68">
        <f>DR108-DR109</f>
        <v>36954.41815799997</v>
      </c>
      <c r="DS110" s="66"/>
      <c r="DT110" s="67"/>
      <c r="DU110" s="68">
        <f>DU108-DU109</f>
        <v>57278.674042041646</v>
      </c>
      <c r="DV110" s="66"/>
      <c r="DW110" s="67"/>
      <c r="DX110" s="68">
        <f>DX108-DX109</f>
        <v>52610.58433812496</v>
      </c>
      <c r="DY110" s="66"/>
      <c r="DZ110" s="67"/>
      <c r="EA110" s="68">
        <f>EA108-EA109</f>
        <v>51683.31812562498</v>
      </c>
      <c r="EB110" s="50">
        <f t="shared" si="150"/>
        <v>51683.31812562498</v>
      </c>
      <c r="EC110" s="66"/>
      <c r="ED110" s="67"/>
      <c r="EE110" s="68">
        <f>EE108-EE109</f>
        <v>36954.41815799997</v>
      </c>
      <c r="EF110" s="66"/>
      <c r="EG110" s="67"/>
      <c r="EH110" s="68">
        <f>EH108-EH109</f>
        <v>57278.674042041646</v>
      </c>
      <c r="EI110" s="66"/>
      <c r="EJ110" s="67"/>
      <c r="EK110" s="68">
        <f>EK108-EK109</f>
        <v>52650.774664999975</v>
      </c>
      <c r="EL110" s="66"/>
      <c r="EM110" s="67"/>
      <c r="EN110" s="68">
        <f>EN108-EN109</f>
        <v>51723.5084525</v>
      </c>
      <c r="EO110" s="50">
        <f t="shared" si="151"/>
        <v>51723.5084525</v>
      </c>
      <c r="EP110" s="66"/>
      <c r="EQ110" s="67"/>
      <c r="ER110" s="68">
        <f>ER108-ER109</f>
        <v>36464.80022662497</v>
      </c>
      <c r="ES110" s="66"/>
      <c r="ET110" s="67"/>
      <c r="EU110" s="68">
        <f>EU108-EU109</f>
        <v>57253.91965291664</v>
      </c>
      <c r="EV110" s="66"/>
      <c r="EW110" s="67"/>
      <c r="EX110" s="68">
        <f>EX108-EX109</f>
        <v>52573.89317707498</v>
      </c>
      <c r="EY110" s="66"/>
      <c r="EZ110" s="67"/>
      <c r="FA110" s="68">
        <f>FA108-FA109</f>
        <v>51110.462519774956</v>
      </c>
      <c r="FB110" s="50">
        <f t="shared" si="152"/>
        <v>51110.462519774956</v>
      </c>
      <c r="FC110" s="66"/>
      <c r="FD110" s="67"/>
      <c r="FE110" s="68">
        <f>FE108-FE109</f>
        <v>36464.80022662497</v>
      </c>
      <c r="FF110" s="66"/>
      <c r="FG110" s="67"/>
      <c r="FH110" s="68">
        <f>FH108-FH109</f>
        <v>57253.91965291664</v>
      </c>
      <c r="FI110" s="66"/>
      <c r="FJ110" s="67"/>
      <c r="FK110" s="68">
        <f>FK108-FK109</f>
        <v>52209.93709737496</v>
      </c>
      <c r="FL110" s="66"/>
      <c r="FM110" s="67"/>
      <c r="FN110" s="68">
        <f>FN108-FN109</f>
        <v>51727.87331024998</v>
      </c>
      <c r="FO110" s="50">
        <f t="shared" si="153"/>
        <v>51727.87331024998</v>
      </c>
      <c r="FP110" s="66"/>
      <c r="FQ110" s="67"/>
      <c r="FR110" s="68">
        <f>FR108-FR109</f>
        <v>36464.80022662497</v>
      </c>
      <c r="FS110" s="66"/>
      <c r="FT110" s="67"/>
      <c r="FU110" s="68">
        <f>FU108-FU109</f>
        <v>56789.05611066664</v>
      </c>
      <c r="FV110" s="66"/>
      <c r="FW110" s="67"/>
      <c r="FX110" s="68">
        <f>FX108-FX109</f>
        <v>52182.184097374964</v>
      </c>
      <c r="FY110" s="66"/>
      <c r="FZ110" s="67"/>
      <c r="GA110" s="68">
        <f>GA108-GA109</f>
        <v>51808.963351249986</v>
      </c>
      <c r="GB110" s="50">
        <f t="shared" si="154"/>
        <v>51808.963351249986</v>
      </c>
      <c r="GC110" s="66"/>
      <c r="GD110" s="67"/>
      <c r="GE110" s="68">
        <f>GE108-GE109</f>
        <v>36464.80022662497</v>
      </c>
      <c r="GF110" s="66"/>
      <c r="GG110" s="67"/>
      <c r="GH110" s="68">
        <f>GH108-GH109</f>
        <v>56789.05611066664</v>
      </c>
      <c r="GI110" s="66"/>
      <c r="GJ110" s="67"/>
      <c r="GK110" s="68">
        <f>GK108-GK109</f>
        <v>52120.966406749954</v>
      </c>
      <c r="GL110" s="66"/>
      <c r="GM110" s="67"/>
      <c r="GN110" s="68">
        <f>GN108-GN109</f>
        <v>51193.70019424998</v>
      </c>
      <c r="GO110" s="50">
        <f t="shared" si="155"/>
        <v>51193.70019424998</v>
      </c>
      <c r="GP110" s="66"/>
      <c r="GQ110" s="67"/>
      <c r="GR110" s="68">
        <f>GR108-GR109</f>
        <v>36954.41815799997</v>
      </c>
      <c r="GS110" s="66"/>
      <c r="GT110" s="67"/>
      <c r="GU110" s="68">
        <f>GU108-GU109</f>
        <v>57278.674042041646</v>
      </c>
      <c r="GV110" s="66"/>
      <c r="GW110" s="67"/>
      <c r="GX110" s="68">
        <f>GX108-GX109</f>
        <v>52610.58433812496</v>
      </c>
      <c r="GY110" s="66"/>
      <c r="GZ110" s="67"/>
      <c r="HA110" s="68">
        <f>HA108-HA109</f>
        <v>51683.31812562498</v>
      </c>
      <c r="HB110" s="50">
        <f t="shared" si="156"/>
        <v>51683.31812562498</v>
      </c>
      <c r="HC110" s="49">
        <f t="shared" si="157"/>
        <v>611040.6882534832</v>
      </c>
      <c r="HD110" s="67"/>
      <c r="HE110" s="68"/>
      <c r="HF110" s="66"/>
      <c r="HG110" s="67"/>
      <c r="HH110" s="68"/>
      <c r="HI110" s="66"/>
      <c r="HJ110" s="67"/>
      <c r="HK110" s="68"/>
      <c r="HL110" s="66"/>
      <c r="HM110" s="67"/>
      <c r="HN110" s="68"/>
      <c r="HO110" s="50"/>
      <c r="HP110" s="66"/>
      <c r="HQ110" s="67"/>
      <c r="HR110" s="68"/>
      <c r="HS110" s="66"/>
      <c r="HT110" s="67"/>
      <c r="HU110" s="68"/>
      <c r="HV110" s="66"/>
      <c r="HW110" s="67"/>
      <c r="HX110" s="68"/>
      <c r="HY110" s="66"/>
      <c r="HZ110" s="67"/>
      <c r="IA110" s="68"/>
      <c r="IB110" s="50"/>
      <c r="IC110" s="66"/>
      <c r="ID110" s="67"/>
      <c r="IE110" s="68"/>
      <c r="IF110" s="66"/>
      <c r="IG110" s="67"/>
      <c r="IH110" s="68"/>
      <c r="II110" s="66"/>
      <c r="IJ110" s="67"/>
      <c r="IK110" s="68"/>
      <c r="IL110" s="66"/>
      <c r="IM110" s="67"/>
      <c r="IN110" s="68"/>
      <c r="IO110" s="50"/>
      <c r="IP110" s="66"/>
      <c r="IQ110" s="67"/>
      <c r="IR110" s="68"/>
      <c r="IS110" s="66"/>
      <c r="IT110" s="67"/>
      <c r="IU110" s="68"/>
      <c r="IV110" s="49"/>
    </row>
    <row r="111" spans="1:256" s="69" customFormat="1" ht="14.25">
      <c r="A111" s="64"/>
      <c r="B111" s="111" t="s">
        <v>431</v>
      </c>
      <c r="C111" s="79"/>
      <c r="D111" s="80"/>
      <c r="E111" s="81"/>
      <c r="F111" s="79"/>
      <c r="G111" s="80"/>
      <c r="H111" s="81"/>
      <c r="I111" s="79"/>
      <c r="J111" s="80"/>
      <c r="K111" s="81">
        <f>K112+K113+K114+K115</f>
        <v>327.50534132</v>
      </c>
      <c r="L111" s="79"/>
      <c r="M111" s="80"/>
      <c r="N111" s="81">
        <f>N112+N113+N114+N115</f>
        <v>614.21405592</v>
      </c>
      <c r="O111" s="50">
        <f>N111</f>
        <v>614.21405592</v>
      </c>
      <c r="P111" s="79"/>
      <c r="Q111" s="80"/>
      <c r="R111" s="81">
        <f>R112+R113+R114+R115</f>
        <v>304.43433954</v>
      </c>
      <c r="S111" s="79"/>
      <c r="T111" s="80"/>
      <c r="U111" s="81">
        <f>U112+U113+U114+U115</f>
        <v>493.07708388000003</v>
      </c>
      <c r="V111" s="79"/>
      <c r="W111" s="80"/>
      <c r="X111" s="81">
        <f>X112+X113+X114+X115</f>
        <v>1137.12502694</v>
      </c>
      <c r="Y111" s="79"/>
      <c r="Z111" s="80"/>
      <c r="AA111" s="81">
        <f>AA112+AA113+AA114+AA115</f>
        <v>2001.16784501</v>
      </c>
      <c r="AB111" s="50">
        <f t="shared" si="158"/>
        <v>2001.16784501</v>
      </c>
      <c r="AC111" s="79"/>
      <c r="AD111" s="80"/>
      <c r="AE111" s="81">
        <f>AE112+AE113+AE114+AE115</f>
        <v>1012.1669292823078</v>
      </c>
      <c r="AF111" s="79"/>
      <c r="AG111" s="80"/>
      <c r="AH111" s="81">
        <f>AH112+AH113+AH114+AH115</f>
        <v>1939.9299972273081</v>
      </c>
      <c r="AI111" s="79"/>
      <c r="AJ111" s="80"/>
      <c r="AK111" s="81">
        <f>AK112+AK113+AK114+AK115</f>
        <v>4391.804411516451</v>
      </c>
      <c r="AL111" s="79"/>
      <c r="AM111" s="80"/>
      <c r="AN111" s="81">
        <f>AN112+AN113+AN114+AN115</f>
        <v>10171.026098978451</v>
      </c>
      <c r="AO111" s="50">
        <f t="shared" si="143"/>
        <v>10171.026098978451</v>
      </c>
      <c r="AP111" s="79"/>
      <c r="AQ111" s="80"/>
      <c r="AR111" s="81">
        <f>AR112+AR113+AR114+AR115</f>
        <v>8763.46905106368</v>
      </c>
      <c r="AS111" s="79"/>
      <c r="AT111" s="80"/>
      <c r="AU111" s="81">
        <f>AU112+AU113+AU114+AU115</f>
        <v>21770.525621186272</v>
      </c>
      <c r="AV111" s="79"/>
      <c r="AW111" s="80"/>
      <c r="AX111" s="81">
        <f>AX112+AX113+AX114+AX115</f>
        <v>31704.193940744273</v>
      </c>
      <c r="AY111" s="79"/>
      <c r="AZ111" s="80"/>
      <c r="BA111" s="81">
        <f>BA112+BA113+BA114+BA115</f>
        <v>45274.93494774961</v>
      </c>
      <c r="BB111" s="50">
        <f t="shared" si="144"/>
        <v>45274.93494774961</v>
      </c>
      <c r="BC111" s="79"/>
      <c r="BD111" s="80"/>
      <c r="BE111" s="81">
        <f>BE112+BE113+BE114+BE115</f>
        <v>9791.211063274299</v>
      </c>
      <c r="BF111" s="79"/>
      <c r="BG111" s="80"/>
      <c r="BH111" s="81">
        <f>BH112+BH113+BH114+BH115</f>
        <v>38261.5743637481</v>
      </c>
      <c r="BI111" s="79"/>
      <c r="BJ111" s="80"/>
      <c r="BK111" s="81">
        <f>BK112+BK113+BK114+BK115</f>
        <v>55232.87335299248</v>
      </c>
      <c r="BL111" s="79"/>
      <c r="BM111" s="80"/>
      <c r="BN111" s="81">
        <f>BN112+BN113+BN114+BN115</f>
        <v>71355.6957211513</v>
      </c>
      <c r="BO111" s="50">
        <f t="shared" si="145"/>
        <v>71355.6957211513</v>
      </c>
      <c r="BP111" s="79"/>
      <c r="BQ111" s="80"/>
      <c r="BR111" s="81">
        <f>BR112+BR113+BR114+BR115</f>
        <v>-2447.9616321936473</v>
      </c>
      <c r="BS111" s="79"/>
      <c r="BT111" s="80"/>
      <c r="BU111" s="81">
        <f>BU112+BU113+BU114+BU115</f>
        <v>27399.723926432744</v>
      </c>
      <c r="BV111" s="79"/>
      <c r="BW111" s="80"/>
      <c r="BX111" s="81">
        <f>BX112+BX113+BX114+BX115</f>
        <v>43584.17262784141</v>
      </c>
      <c r="BY111" s="79"/>
      <c r="BZ111" s="80"/>
      <c r="CA111" s="81">
        <f>CA112+CA113+CA114+CA115</f>
        <v>97299.32789465287</v>
      </c>
      <c r="CB111" s="50">
        <f t="shared" si="146"/>
        <v>97299.32789465287</v>
      </c>
      <c r="CC111" s="79"/>
      <c r="CD111" s="80"/>
      <c r="CE111" s="81">
        <f>CE112+CE113+CE114+CE115</f>
        <v>-3383.8708873782916</v>
      </c>
      <c r="CF111" s="79"/>
      <c r="CG111" s="80"/>
      <c r="CH111" s="81">
        <f>CH112+CH113+CH114+CH115</f>
        <v>25954.82562466502</v>
      </c>
      <c r="CI111" s="79"/>
      <c r="CJ111" s="80"/>
      <c r="CK111" s="81">
        <f>CK112+CK113+CK114+CK115</f>
        <v>40462.78569408873</v>
      </c>
      <c r="CL111" s="79"/>
      <c r="CM111" s="80"/>
      <c r="CN111" s="81">
        <f>CN112+CN113+CN114+CN115</f>
        <v>55372.97104563957</v>
      </c>
      <c r="CO111" s="50">
        <f t="shared" si="147"/>
        <v>55372.97104563957</v>
      </c>
      <c r="CP111" s="79"/>
      <c r="CQ111" s="80"/>
      <c r="CR111" s="81">
        <f>CR112+CR113+CR114+CR115</f>
        <v>-2002.1594770083166</v>
      </c>
      <c r="CS111" s="79"/>
      <c r="CT111" s="80"/>
      <c r="CU111" s="81">
        <f>CU112+CU113+CU114+CU115</f>
        <v>26577.005349797008</v>
      </c>
      <c r="CV111" s="79"/>
      <c r="CW111" s="80"/>
      <c r="CX111" s="81">
        <f>CX112+CX113+CX114+CX115</f>
        <v>33502.37561247044</v>
      </c>
      <c r="CY111" s="79"/>
      <c r="CZ111" s="80"/>
      <c r="DA111" s="81">
        <f>DA112+DA113+DA114+DA115</f>
        <v>47898.810447724274</v>
      </c>
      <c r="DB111" s="50">
        <f t="shared" si="148"/>
        <v>47898.810447724274</v>
      </c>
      <c r="DC111" s="79"/>
      <c r="DD111" s="80"/>
      <c r="DE111" s="81">
        <f>DE112+DE113+DE114+DE115</f>
        <v>-372.8938478018854</v>
      </c>
      <c r="DF111" s="79"/>
      <c r="DG111" s="80"/>
      <c r="DH111" s="81">
        <f>DH112+DH113+DH114+DH115</f>
        <v>27419.92359861215</v>
      </c>
      <c r="DI111" s="79"/>
      <c r="DJ111" s="80"/>
      <c r="DK111" s="81">
        <f>DK112+DK113+DK114+DK115</f>
        <v>37918.13279868748</v>
      </c>
      <c r="DL111" s="79"/>
      <c r="DM111" s="80"/>
      <c r="DN111" s="81">
        <f>DN112+DN113+DN114+DN115</f>
        <v>51569.7647484639</v>
      </c>
      <c r="DO111" s="50">
        <f t="shared" si="149"/>
        <v>51569.7647484639</v>
      </c>
      <c r="DP111" s="79"/>
      <c r="DQ111" s="80"/>
      <c r="DR111" s="81">
        <f>DR112+DR113+DR114+DR115</f>
        <v>882.1856333321202</v>
      </c>
      <c r="DS111" s="79"/>
      <c r="DT111" s="80"/>
      <c r="DU111" s="81">
        <f>DU112+DU113+DU114+DU115</f>
        <v>28029.311302809358</v>
      </c>
      <c r="DV111" s="79"/>
      <c r="DW111" s="80"/>
      <c r="DX111" s="81">
        <f>DX112+DX113+DX114+DX115</f>
        <v>41892.424717870876</v>
      </c>
      <c r="DY111" s="79"/>
      <c r="DZ111" s="80"/>
      <c r="EA111" s="81">
        <f>EA112+EA113+EA114+EA115</f>
        <v>54709.74082901172</v>
      </c>
      <c r="EB111" s="50">
        <f t="shared" si="150"/>
        <v>54709.74082901172</v>
      </c>
      <c r="EC111" s="79"/>
      <c r="ED111" s="80"/>
      <c r="EE111" s="81">
        <f>EE112+EE113+EE114+EE115</f>
        <v>1766.823429397008</v>
      </c>
      <c r="EF111" s="79"/>
      <c r="EG111" s="80"/>
      <c r="EH111" s="81">
        <f>EH112+EH113+EH114+EH115</f>
        <v>27656.841139251264</v>
      </c>
      <c r="EI111" s="79"/>
      <c r="EJ111" s="80"/>
      <c r="EK111" s="81">
        <f>EK112+EK113+EK114+EK115</f>
        <v>40443.973179487075</v>
      </c>
      <c r="EL111" s="79"/>
      <c r="EM111" s="80"/>
      <c r="EN111" s="81">
        <f>EN112+EN113+EN114+EN115</f>
        <v>52472.19066618392</v>
      </c>
      <c r="EO111" s="50">
        <f t="shared" si="151"/>
        <v>52472.19066618392</v>
      </c>
      <c r="EP111" s="79"/>
      <c r="EQ111" s="80"/>
      <c r="ER111" s="81">
        <f>ER112+ER113+ER114+ER115</f>
        <v>712.6037866918541</v>
      </c>
      <c r="ES111" s="79"/>
      <c r="ET111" s="80"/>
      <c r="EU111" s="81">
        <f>EU112+EU113+EU114+EU115</f>
        <v>25844.10086650114</v>
      </c>
      <c r="EV111" s="79"/>
      <c r="EW111" s="80"/>
      <c r="EX111" s="81">
        <f>EX112+EX113+EX114+EX115</f>
        <v>36962.54452219457</v>
      </c>
      <c r="EY111" s="79"/>
      <c r="EZ111" s="80"/>
      <c r="FA111" s="81">
        <f>FA112+FA113+FA114+FA115</f>
        <v>48496.72940925541</v>
      </c>
      <c r="FB111" s="50">
        <f t="shared" si="152"/>
        <v>48496.72940925541</v>
      </c>
      <c r="FC111" s="79"/>
      <c r="FD111" s="80"/>
      <c r="FE111" s="81">
        <f>FE112+FE113+FE114+FE115</f>
        <v>4657.297342924459</v>
      </c>
      <c r="FF111" s="79"/>
      <c r="FG111" s="80"/>
      <c r="FH111" s="81">
        <f>FH112+FH113+FH114+FH115</f>
        <v>28539.069662562226</v>
      </c>
      <c r="FI111" s="79"/>
      <c r="FJ111" s="80"/>
      <c r="FK111" s="81">
        <f>FK112+FK113+FK114+FK115</f>
        <v>32118.60519009737</v>
      </c>
      <c r="FL111" s="79"/>
      <c r="FM111" s="80"/>
      <c r="FN111" s="81">
        <f>FN112+FN113+FN114+FN115</f>
        <v>40479.5076247962</v>
      </c>
      <c r="FO111" s="50">
        <f t="shared" si="153"/>
        <v>40479.5076247962</v>
      </c>
      <c r="FP111" s="79"/>
      <c r="FQ111" s="80"/>
      <c r="FR111" s="81">
        <f>FR112+FR113+FR114+FR115</f>
        <v>4182.784056076269</v>
      </c>
      <c r="FS111" s="79"/>
      <c r="FT111" s="80"/>
      <c r="FU111" s="81">
        <f>FU112+FU113+FU114+FU115</f>
        <v>25244.23318888967</v>
      </c>
      <c r="FV111" s="79"/>
      <c r="FW111" s="80"/>
      <c r="FX111" s="81">
        <f>FX112+FX113+FX114+FX115</f>
        <v>29956.58978434786</v>
      </c>
      <c r="FY111" s="79"/>
      <c r="FZ111" s="80"/>
      <c r="GA111" s="81">
        <f>GA112+GA113+GA114+GA115</f>
        <v>34528.94456877969</v>
      </c>
      <c r="GB111" s="50">
        <f t="shared" si="154"/>
        <v>34528.94456877969</v>
      </c>
      <c r="GC111" s="79"/>
      <c r="GD111" s="80"/>
      <c r="GE111" s="81">
        <f>GE112+GE113+GE114+GE115</f>
        <v>1162.0402673544527</v>
      </c>
      <c r="GF111" s="79"/>
      <c r="GG111" s="80"/>
      <c r="GH111" s="81">
        <f>GH112+GH113+GH114+GH115</f>
        <v>19043.589116382223</v>
      </c>
      <c r="GI111" s="79"/>
      <c r="GJ111" s="80"/>
      <c r="GK111" s="81">
        <f>GK112+GK113+GK114+GK115</f>
        <v>24447.973417412242</v>
      </c>
      <c r="GL111" s="79"/>
      <c r="GM111" s="80"/>
      <c r="GN111" s="81">
        <f>GN112+GN113+GN114+GN115</f>
        <v>28601.607588241575</v>
      </c>
      <c r="GO111" s="50">
        <f t="shared" si="155"/>
        <v>28601.607588241575</v>
      </c>
      <c r="GP111" s="79"/>
      <c r="GQ111" s="80"/>
      <c r="GR111" s="81">
        <f>GR112+GR113+GR114+GR115</f>
        <v>250.563692385595</v>
      </c>
      <c r="GS111" s="79"/>
      <c r="GT111" s="80"/>
      <c r="GU111" s="81">
        <f>GU112+GU113+GU114+GU115</f>
        <v>18201.085314187134</v>
      </c>
      <c r="GV111" s="79"/>
      <c r="GW111" s="80"/>
      <c r="GX111" s="81">
        <f>GX112+GX113+GX114+GX115</f>
        <v>23289.121381533827</v>
      </c>
      <c r="GY111" s="79"/>
      <c r="GZ111" s="80"/>
      <c r="HA111" s="81">
        <f>HA112+HA113+HA114+HA115</f>
        <v>27310.978930199162</v>
      </c>
      <c r="HB111" s="50">
        <f t="shared" si="156"/>
        <v>27310.978930199162</v>
      </c>
      <c r="HC111" s="50">
        <f t="shared" si="157"/>
        <v>668157.6124217577</v>
      </c>
      <c r="HD111" s="80"/>
      <c r="HE111" s="81"/>
      <c r="HF111" s="79"/>
      <c r="HG111" s="80"/>
      <c r="HH111" s="81"/>
      <c r="HI111" s="79"/>
      <c r="HJ111" s="80"/>
      <c r="HK111" s="81"/>
      <c r="HL111" s="79"/>
      <c r="HM111" s="80"/>
      <c r="HN111" s="81"/>
      <c r="HO111" s="50"/>
      <c r="HP111" s="79"/>
      <c r="HQ111" s="80"/>
      <c r="HR111" s="81"/>
      <c r="HS111" s="79"/>
      <c r="HT111" s="80"/>
      <c r="HU111" s="81"/>
      <c r="HV111" s="79"/>
      <c r="HW111" s="80"/>
      <c r="HX111" s="81"/>
      <c r="HY111" s="79"/>
      <c r="HZ111" s="80"/>
      <c r="IA111" s="81"/>
      <c r="IB111" s="50"/>
      <c r="IC111" s="79"/>
      <c r="ID111" s="80"/>
      <c r="IE111" s="81"/>
      <c r="IF111" s="79"/>
      <c r="IG111" s="80"/>
      <c r="IH111" s="81"/>
      <c r="II111" s="79"/>
      <c r="IJ111" s="80"/>
      <c r="IK111" s="81"/>
      <c r="IL111" s="79"/>
      <c r="IM111" s="80"/>
      <c r="IN111" s="81"/>
      <c r="IO111" s="50"/>
      <c r="IP111" s="82"/>
      <c r="IQ111" s="83"/>
      <c r="IR111" s="84"/>
      <c r="IS111" s="79"/>
      <c r="IT111" s="80"/>
      <c r="IU111" s="81"/>
      <c r="IV111" s="50"/>
    </row>
    <row r="112" spans="1:256" s="78" customFormat="1" ht="14.25">
      <c r="A112" s="70"/>
      <c r="B112" s="71" t="s">
        <v>432</v>
      </c>
      <c r="C112" s="72"/>
      <c r="D112" s="73"/>
      <c r="E112" s="74"/>
      <c r="F112" s="72"/>
      <c r="G112" s="73"/>
      <c r="H112" s="74"/>
      <c r="I112" s="72"/>
      <c r="J112" s="73"/>
      <c r="K112" s="74">
        <f>(K82+K83)/120*100</f>
        <v>225</v>
      </c>
      <c r="L112" s="72"/>
      <c r="M112" s="73"/>
      <c r="N112" s="74">
        <f>K112</f>
        <v>225</v>
      </c>
      <c r="O112" s="50">
        <f>N112</f>
        <v>225</v>
      </c>
      <c r="P112" s="72"/>
      <c r="Q112" s="73"/>
      <c r="R112" s="74"/>
      <c r="S112" s="72"/>
      <c r="T112" s="73"/>
      <c r="U112" s="74"/>
      <c r="V112" s="72"/>
      <c r="W112" s="73"/>
      <c r="X112" s="74">
        <f>X82/120*100</f>
        <v>250</v>
      </c>
      <c r="Y112" s="72"/>
      <c r="Z112" s="73"/>
      <c r="AA112" s="74">
        <f>X112</f>
        <v>250</v>
      </c>
      <c r="AB112" s="50">
        <f t="shared" si="158"/>
        <v>250</v>
      </c>
      <c r="AC112" s="72"/>
      <c r="AD112" s="73"/>
      <c r="AE112" s="74"/>
      <c r="AF112" s="72"/>
      <c r="AG112" s="73"/>
      <c r="AH112" s="74"/>
      <c r="AI112" s="72"/>
      <c r="AJ112" s="73"/>
      <c r="AK112" s="74">
        <f>AK82/120*100</f>
        <v>125</v>
      </c>
      <c r="AL112" s="72"/>
      <c r="AM112" s="73"/>
      <c r="AN112" s="74">
        <f>AK112</f>
        <v>125</v>
      </c>
      <c r="AO112" s="50">
        <f t="shared" si="143"/>
        <v>125</v>
      </c>
      <c r="AP112" s="72"/>
      <c r="AQ112" s="73"/>
      <c r="AR112" s="74"/>
      <c r="AS112" s="72"/>
      <c r="AT112" s="73"/>
      <c r="AU112" s="74"/>
      <c r="AV112" s="72"/>
      <c r="AW112" s="73"/>
      <c r="AX112" s="74"/>
      <c r="AY112" s="72"/>
      <c r="AZ112" s="73"/>
      <c r="BA112" s="74"/>
      <c r="BB112" s="50"/>
      <c r="BC112" s="72"/>
      <c r="BD112" s="73"/>
      <c r="BE112" s="74">
        <f>-(BC89+BC90)</f>
        <v>-7060.892569277699</v>
      </c>
      <c r="BF112" s="72"/>
      <c r="BG112" s="73"/>
      <c r="BH112" s="74">
        <f>BE112</f>
        <v>-7060.892569277699</v>
      </c>
      <c r="BI112" s="72"/>
      <c r="BJ112" s="73"/>
      <c r="BK112" s="74">
        <f>BH112</f>
        <v>-7060.892569277699</v>
      </c>
      <c r="BL112" s="72"/>
      <c r="BM112" s="73"/>
      <c r="BN112" s="74">
        <f>BK112</f>
        <v>-7060.892569277699</v>
      </c>
      <c r="BO112" s="50">
        <f>BN112</f>
        <v>-7060.892569277699</v>
      </c>
      <c r="BP112" s="72"/>
      <c r="BQ112" s="73"/>
      <c r="BR112" s="74">
        <f>-(BP89+BP90)</f>
        <v>-19136.188928148313</v>
      </c>
      <c r="BS112" s="72"/>
      <c r="BT112" s="73"/>
      <c r="BU112" s="74">
        <f>BR112</f>
        <v>-19136.188928148313</v>
      </c>
      <c r="BV112" s="72"/>
      <c r="BW112" s="73"/>
      <c r="BX112" s="74">
        <f>BU112</f>
        <v>-19136.188928148313</v>
      </c>
      <c r="BY112" s="72"/>
      <c r="BZ112" s="73"/>
      <c r="CA112" s="74">
        <f>-BX112</f>
        <v>19136.188928148313</v>
      </c>
      <c r="CB112" s="50">
        <f>CA112</f>
        <v>19136.188928148313</v>
      </c>
      <c r="CC112" s="72"/>
      <c r="CD112" s="73"/>
      <c r="CE112" s="74">
        <f>-(CC89+CC90)</f>
        <v>-20072.098183332957</v>
      </c>
      <c r="CF112" s="72"/>
      <c r="CG112" s="73"/>
      <c r="CH112" s="74">
        <f>CE112</f>
        <v>-20072.098183332957</v>
      </c>
      <c r="CI112" s="72"/>
      <c r="CJ112" s="73"/>
      <c r="CK112" s="74">
        <f>CH112-CJ59/120*100</f>
        <v>-21113.764849999625</v>
      </c>
      <c r="CL112" s="72"/>
      <c r="CM112" s="73"/>
      <c r="CN112" s="74">
        <f>CK112</f>
        <v>-21113.764849999625</v>
      </c>
      <c r="CO112" s="50">
        <f t="shared" si="147"/>
        <v>-21113.764849999625</v>
      </c>
      <c r="CP112" s="72"/>
      <c r="CQ112" s="73"/>
      <c r="CR112" s="74">
        <f>-(CP89+CP90)</f>
        <v>-18859.30570296298</v>
      </c>
      <c r="CS112" s="72"/>
      <c r="CT112" s="73"/>
      <c r="CU112" s="74">
        <f>CR112</f>
        <v>-18859.30570296298</v>
      </c>
      <c r="CV112" s="72"/>
      <c r="CW112" s="73"/>
      <c r="CX112" s="74">
        <f>CU112-CW58/120*100</f>
        <v>-26925.97236962965</v>
      </c>
      <c r="CY112" s="72"/>
      <c r="CZ112" s="73"/>
      <c r="DA112" s="74">
        <f>CX112</f>
        <v>-26925.97236962965</v>
      </c>
      <c r="DB112" s="50">
        <f t="shared" si="148"/>
        <v>-26925.97236962965</v>
      </c>
      <c r="DC112" s="72"/>
      <c r="DD112" s="73"/>
      <c r="DE112" s="74">
        <f>-(DC89+DC90)</f>
        <v>-17230.04007375655</v>
      </c>
      <c r="DF112" s="72"/>
      <c r="DG112" s="73"/>
      <c r="DH112" s="74">
        <f>DE112</f>
        <v>-17230.04007375655</v>
      </c>
      <c r="DI112" s="72"/>
      <c r="DJ112" s="73"/>
      <c r="DK112" s="74">
        <f>DH112-DJ58/120*100</f>
        <v>-21263.373407089883</v>
      </c>
      <c r="DL112" s="72"/>
      <c r="DM112" s="73"/>
      <c r="DN112" s="74">
        <f>DK112</f>
        <v>-21263.373407089883</v>
      </c>
      <c r="DO112" s="50">
        <f t="shared" si="149"/>
        <v>-21263.373407089883</v>
      </c>
      <c r="DP112" s="72"/>
      <c r="DQ112" s="73"/>
      <c r="DR112" s="74">
        <f>-(DP89+DP90)</f>
        <v>-15969.917970886545</v>
      </c>
      <c r="DS112" s="72"/>
      <c r="DT112" s="73"/>
      <c r="DU112" s="74">
        <f>DR112</f>
        <v>-15969.917970886545</v>
      </c>
      <c r="DV112" s="72"/>
      <c r="DW112" s="73"/>
      <c r="DX112" s="74">
        <f>DU112</f>
        <v>-15969.917970886545</v>
      </c>
      <c r="DY112" s="72"/>
      <c r="DZ112" s="73"/>
      <c r="EA112" s="74">
        <f>DX112</f>
        <v>-15969.917970886545</v>
      </c>
      <c r="EB112" s="50">
        <f>EA112</f>
        <v>-15969.917970886545</v>
      </c>
      <c r="EC112" s="72"/>
      <c r="ED112" s="73"/>
      <c r="EE112" s="74">
        <f>-(EC89+EC90)</f>
        <v>-14703.537704821658</v>
      </c>
      <c r="EF112" s="72"/>
      <c r="EG112" s="73"/>
      <c r="EH112" s="74">
        <f>EE112</f>
        <v>-14703.537704821658</v>
      </c>
      <c r="EI112" s="72"/>
      <c r="EJ112" s="73"/>
      <c r="EK112" s="74">
        <f>EH112</f>
        <v>-14703.537704821658</v>
      </c>
      <c r="EL112" s="72"/>
      <c r="EM112" s="73"/>
      <c r="EN112" s="74">
        <f>EK112</f>
        <v>-14703.537704821658</v>
      </c>
      <c r="EO112" s="50">
        <f>EN112</f>
        <v>-14703.537704821658</v>
      </c>
      <c r="EP112" s="72"/>
      <c r="EQ112" s="73"/>
      <c r="ER112" s="74">
        <f>-(EP89+EP90)</f>
        <v>-13130.690949262811</v>
      </c>
      <c r="ES112" s="72"/>
      <c r="ET112" s="73"/>
      <c r="EU112" s="74">
        <f>ER112</f>
        <v>-13130.690949262811</v>
      </c>
      <c r="EV112" s="72"/>
      <c r="EW112" s="73"/>
      <c r="EX112" s="74">
        <f>EU112-EW59/120*100</f>
        <v>-14172.357615929477</v>
      </c>
      <c r="EY112" s="72"/>
      <c r="EZ112" s="73"/>
      <c r="FA112" s="74">
        <f>EX112</f>
        <v>-14172.357615929477</v>
      </c>
      <c r="FB112" s="50">
        <f t="shared" si="152"/>
        <v>-14172.357615929477</v>
      </c>
      <c r="FC112" s="72"/>
      <c r="FD112" s="73"/>
      <c r="FE112" s="74">
        <f>-(FC89+FC90)</f>
        <v>-11887.966513030206</v>
      </c>
      <c r="FF112" s="72"/>
      <c r="FG112" s="73"/>
      <c r="FH112" s="74">
        <f>FE112</f>
        <v>-11887.966513030206</v>
      </c>
      <c r="FI112" s="72"/>
      <c r="FJ112" s="73"/>
      <c r="FK112" s="74">
        <f>FH112-FJ58/120*100</f>
        <v>-19954.633179696873</v>
      </c>
      <c r="FL112" s="72"/>
      <c r="FM112" s="73"/>
      <c r="FN112" s="74">
        <f>FK112</f>
        <v>-19954.633179696873</v>
      </c>
      <c r="FO112" s="50">
        <f t="shared" si="153"/>
        <v>-19954.633179696873</v>
      </c>
      <c r="FP112" s="72"/>
      <c r="FQ112" s="73"/>
      <c r="FR112" s="74">
        <f>-(FP89+FP90)</f>
        <v>-9792.277919878397</v>
      </c>
      <c r="FS112" s="72"/>
      <c r="FT112" s="73"/>
      <c r="FU112" s="74">
        <f>FR112</f>
        <v>-9792.277919878397</v>
      </c>
      <c r="FV112" s="72"/>
      <c r="FW112" s="73"/>
      <c r="FX112" s="74">
        <f>FU112-FW58/120*100</f>
        <v>-13825.611253211731</v>
      </c>
      <c r="FY112" s="72"/>
      <c r="FZ112" s="73"/>
      <c r="GA112" s="74">
        <f>FX112</f>
        <v>-13825.611253211731</v>
      </c>
      <c r="GB112" s="50">
        <f t="shared" si="154"/>
        <v>-13825.611253211731</v>
      </c>
      <c r="GC112" s="72"/>
      <c r="GD112" s="73"/>
      <c r="GE112" s="74">
        <f>-(GC89+GC90)</f>
        <v>-9218.189538600212</v>
      </c>
      <c r="GF112" s="72"/>
      <c r="GG112" s="73"/>
      <c r="GH112" s="74">
        <f>GE112</f>
        <v>-9218.189538600212</v>
      </c>
      <c r="GI112" s="72"/>
      <c r="GJ112" s="73"/>
      <c r="GK112" s="74">
        <f>GH112</f>
        <v>-9218.189538600212</v>
      </c>
      <c r="GL112" s="72"/>
      <c r="GM112" s="73"/>
      <c r="GN112" s="74">
        <f>GK112</f>
        <v>-9218.189538600212</v>
      </c>
      <c r="GO112" s="50">
        <f>GN112</f>
        <v>-9218.189538600212</v>
      </c>
      <c r="GP112" s="72"/>
      <c r="GQ112" s="73"/>
      <c r="GR112" s="74">
        <f>-(GP89+GP90)</f>
        <v>-9955.70456183307</v>
      </c>
      <c r="GS112" s="72"/>
      <c r="GT112" s="73"/>
      <c r="GU112" s="74">
        <f>GR112</f>
        <v>-9955.70456183307</v>
      </c>
      <c r="GV112" s="72"/>
      <c r="GW112" s="73"/>
      <c r="GX112" s="74">
        <f>GU112</f>
        <v>-9955.70456183307</v>
      </c>
      <c r="GY112" s="72"/>
      <c r="GZ112" s="73"/>
      <c r="HA112" s="74">
        <f>GX112</f>
        <v>-9955.70456183307</v>
      </c>
      <c r="HB112" s="50">
        <f>HA112</f>
        <v>-9955.70456183307</v>
      </c>
      <c r="HC112" s="49">
        <f t="shared" si="157"/>
        <v>-154427.76609282813</v>
      </c>
      <c r="HD112" s="73"/>
      <c r="HE112" s="74"/>
      <c r="HF112" s="72"/>
      <c r="HG112" s="73"/>
      <c r="HH112" s="74"/>
      <c r="HI112" s="72"/>
      <c r="HJ112" s="73"/>
      <c r="HK112" s="74"/>
      <c r="HL112" s="72"/>
      <c r="HM112" s="73"/>
      <c r="HN112" s="74"/>
      <c r="HO112" s="50"/>
      <c r="HP112" s="72"/>
      <c r="HQ112" s="73"/>
      <c r="HR112" s="74"/>
      <c r="HS112" s="72"/>
      <c r="HT112" s="73"/>
      <c r="HU112" s="74"/>
      <c r="HV112" s="72"/>
      <c r="HW112" s="73"/>
      <c r="HX112" s="74"/>
      <c r="HY112" s="72"/>
      <c r="HZ112" s="73"/>
      <c r="IA112" s="74"/>
      <c r="IB112" s="50"/>
      <c r="IC112" s="72"/>
      <c r="ID112" s="73"/>
      <c r="IE112" s="74"/>
      <c r="IF112" s="72"/>
      <c r="IG112" s="73"/>
      <c r="IH112" s="74"/>
      <c r="II112" s="72"/>
      <c r="IJ112" s="73"/>
      <c r="IK112" s="74"/>
      <c r="IL112" s="72"/>
      <c r="IM112" s="73"/>
      <c r="IN112" s="74"/>
      <c r="IO112" s="50"/>
      <c r="IP112" s="75"/>
      <c r="IQ112" s="76"/>
      <c r="IR112" s="77"/>
      <c r="IS112" s="72"/>
      <c r="IT112" s="73"/>
      <c r="IU112" s="74"/>
      <c r="IV112" s="53"/>
    </row>
    <row r="113" spans="1:256" s="78" customFormat="1" ht="14.25">
      <c r="A113" s="70"/>
      <c r="B113" s="71" t="s">
        <v>433</v>
      </c>
      <c r="C113" s="72"/>
      <c r="D113" s="73"/>
      <c r="E113" s="74"/>
      <c r="F113" s="72"/>
      <c r="G113" s="73"/>
      <c r="H113" s="74"/>
      <c r="I113" s="72"/>
      <c r="J113" s="73"/>
      <c r="K113" s="74"/>
      <c r="L113" s="72"/>
      <c r="M113" s="73"/>
      <c r="N113" s="74"/>
      <c r="O113" s="50"/>
      <c r="P113" s="72"/>
      <c r="Q113" s="73"/>
      <c r="R113" s="74"/>
      <c r="S113" s="72"/>
      <c r="T113" s="73"/>
      <c r="U113" s="74"/>
      <c r="V113" s="72"/>
      <c r="W113" s="73"/>
      <c r="X113" s="74"/>
      <c r="Y113" s="72"/>
      <c r="Z113" s="73"/>
      <c r="AA113" s="74"/>
      <c r="AB113" s="50"/>
      <c r="AC113" s="72"/>
      <c r="AD113" s="73"/>
      <c r="AE113" s="74"/>
      <c r="AF113" s="72"/>
      <c r="AG113" s="73"/>
      <c r="AH113" s="74"/>
      <c r="AI113" s="72"/>
      <c r="AJ113" s="73"/>
      <c r="AK113" s="74"/>
      <c r="AL113" s="72"/>
      <c r="AM113" s="73"/>
      <c r="AN113" s="74"/>
      <c r="AO113" s="50"/>
      <c r="AP113" s="72"/>
      <c r="AQ113" s="73"/>
      <c r="AR113" s="74"/>
      <c r="AS113" s="72"/>
      <c r="AT113" s="73"/>
      <c r="AU113" s="74"/>
      <c r="AV113" s="72"/>
      <c r="AW113" s="73"/>
      <c r="AX113" s="74"/>
      <c r="AY113" s="72"/>
      <c r="AZ113" s="73"/>
      <c r="BA113" s="74"/>
      <c r="BB113" s="50"/>
      <c r="BC113" s="72"/>
      <c r="BD113" s="73"/>
      <c r="BE113" s="74"/>
      <c r="BF113" s="72"/>
      <c r="BG113" s="73"/>
      <c r="BH113" s="74"/>
      <c r="BI113" s="72"/>
      <c r="BJ113" s="73"/>
      <c r="BK113" s="74"/>
      <c r="BL113" s="72"/>
      <c r="BM113" s="73"/>
      <c r="BN113" s="74"/>
      <c r="BO113" s="50"/>
      <c r="BP113" s="72"/>
      <c r="BQ113" s="73"/>
      <c r="BR113" s="74"/>
      <c r="BS113" s="72"/>
      <c r="BT113" s="73"/>
      <c r="BU113" s="74"/>
      <c r="BV113" s="72"/>
      <c r="BW113" s="73"/>
      <c r="BX113" s="74"/>
      <c r="BY113" s="72"/>
      <c r="BZ113" s="73"/>
      <c r="CA113" s="74"/>
      <c r="CB113" s="50"/>
      <c r="CC113" s="72"/>
      <c r="CD113" s="73"/>
      <c r="CE113" s="74"/>
      <c r="CF113" s="72"/>
      <c r="CG113" s="73"/>
      <c r="CH113" s="74"/>
      <c r="CI113" s="72"/>
      <c r="CJ113" s="73"/>
      <c r="CK113" s="74"/>
      <c r="CL113" s="72"/>
      <c r="CM113" s="73"/>
      <c r="CN113" s="74"/>
      <c r="CO113" s="50"/>
      <c r="CP113" s="72"/>
      <c r="CQ113" s="73"/>
      <c r="CR113" s="74"/>
      <c r="CS113" s="72"/>
      <c r="CT113" s="73"/>
      <c r="CU113" s="74"/>
      <c r="CV113" s="72"/>
      <c r="CW113" s="73"/>
      <c r="CX113" s="74"/>
      <c r="CY113" s="72"/>
      <c r="CZ113" s="73"/>
      <c r="DA113" s="74"/>
      <c r="DB113" s="50"/>
      <c r="DC113" s="72"/>
      <c r="DD113" s="73"/>
      <c r="DE113" s="74"/>
      <c r="DF113" s="72"/>
      <c r="DG113" s="73"/>
      <c r="DH113" s="74"/>
      <c r="DI113" s="72"/>
      <c r="DJ113" s="73"/>
      <c r="DK113" s="74"/>
      <c r="DL113" s="72"/>
      <c r="DM113" s="73"/>
      <c r="DN113" s="74"/>
      <c r="DO113" s="50"/>
      <c r="DP113" s="72"/>
      <c r="DQ113" s="73"/>
      <c r="DR113" s="74"/>
      <c r="DS113" s="72"/>
      <c r="DT113" s="73"/>
      <c r="DU113" s="74"/>
      <c r="DV113" s="72"/>
      <c r="DW113" s="73"/>
      <c r="DX113" s="74"/>
      <c r="DY113" s="72"/>
      <c r="DZ113" s="73"/>
      <c r="EA113" s="74"/>
      <c r="EB113" s="50"/>
      <c r="EC113" s="72"/>
      <c r="ED113" s="73"/>
      <c r="EE113" s="74"/>
      <c r="EF113" s="72"/>
      <c r="EG113" s="73"/>
      <c r="EH113" s="74"/>
      <c r="EI113" s="72"/>
      <c r="EJ113" s="73"/>
      <c r="EK113" s="74"/>
      <c r="EL113" s="72"/>
      <c r="EM113" s="73"/>
      <c r="EN113" s="74"/>
      <c r="EO113" s="50"/>
      <c r="EP113" s="72"/>
      <c r="EQ113" s="73"/>
      <c r="ER113" s="74"/>
      <c r="ES113" s="72"/>
      <c r="ET113" s="73"/>
      <c r="EU113" s="74"/>
      <c r="EV113" s="72"/>
      <c r="EW113" s="73"/>
      <c r="EX113" s="74"/>
      <c r="EY113" s="72"/>
      <c r="EZ113" s="73"/>
      <c r="FA113" s="74"/>
      <c r="FB113" s="50"/>
      <c r="FC113" s="72"/>
      <c r="FD113" s="73"/>
      <c r="FE113" s="74"/>
      <c r="FF113" s="72"/>
      <c r="FG113" s="73"/>
      <c r="FH113" s="74"/>
      <c r="FI113" s="72"/>
      <c r="FJ113" s="73"/>
      <c r="FK113" s="74"/>
      <c r="FL113" s="72"/>
      <c r="FM113" s="73"/>
      <c r="FN113" s="74"/>
      <c r="FO113" s="50"/>
      <c r="FP113" s="72"/>
      <c r="FQ113" s="73"/>
      <c r="FR113" s="74"/>
      <c r="FS113" s="72"/>
      <c r="FT113" s="73"/>
      <c r="FU113" s="74"/>
      <c r="FV113" s="72"/>
      <c r="FW113" s="73"/>
      <c r="FX113" s="74"/>
      <c r="FY113" s="72"/>
      <c r="FZ113" s="73"/>
      <c r="GA113" s="74"/>
      <c r="GB113" s="50"/>
      <c r="GC113" s="72"/>
      <c r="GD113" s="73"/>
      <c r="GE113" s="74"/>
      <c r="GF113" s="72"/>
      <c r="GG113" s="73"/>
      <c r="GH113" s="74"/>
      <c r="GI113" s="72"/>
      <c r="GJ113" s="73"/>
      <c r="GK113" s="74"/>
      <c r="GL113" s="72"/>
      <c r="GM113" s="73"/>
      <c r="GN113" s="74"/>
      <c r="GO113" s="50"/>
      <c r="GP113" s="72"/>
      <c r="GQ113" s="73"/>
      <c r="GR113" s="74"/>
      <c r="GS113" s="72"/>
      <c r="GT113" s="73"/>
      <c r="GU113" s="74"/>
      <c r="GV113" s="72"/>
      <c r="GW113" s="73"/>
      <c r="GX113" s="74"/>
      <c r="GY113" s="72"/>
      <c r="GZ113" s="73"/>
      <c r="HA113" s="74"/>
      <c r="HB113" s="50"/>
      <c r="HC113" s="49"/>
      <c r="HD113" s="73"/>
      <c r="HE113" s="74"/>
      <c r="HF113" s="72"/>
      <c r="HG113" s="73"/>
      <c r="HH113" s="74"/>
      <c r="HI113" s="72"/>
      <c r="HJ113" s="73"/>
      <c r="HK113" s="74"/>
      <c r="HL113" s="72"/>
      <c r="HM113" s="73"/>
      <c r="HN113" s="74"/>
      <c r="HO113" s="50"/>
      <c r="HP113" s="72"/>
      <c r="HQ113" s="73"/>
      <c r="HR113" s="74"/>
      <c r="HS113" s="72"/>
      <c r="HT113" s="73"/>
      <c r="HU113" s="74"/>
      <c r="HV113" s="72"/>
      <c r="HW113" s="73"/>
      <c r="HX113" s="74"/>
      <c r="HY113" s="72"/>
      <c r="HZ113" s="73"/>
      <c r="IA113" s="74"/>
      <c r="IB113" s="50"/>
      <c r="IC113" s="72"/>
      <c r="ID113" s="73"/>
      <c r="IE113" s="74"/>
      <c r="IF113" s="72"/>
      <c r="IG113" s="73"/>
      <c r="IH113" s="74"/>
      <c r="II113" s="72"/>
      <c r="IJ113" s="73"/>
      <c r="IK113" s="74"/>
      <c r="IL113" s="72"/>
      <c r="IM113" s="73"/>
      <c r="IN113" s="74"/>
      <c r="IO113" s="50"/>
      <c r="IP113" s="75"/>
      <c r="IQ113" s="76"/>
      <c r="IR113" s="77"/>
      <c r="IS113" s="72"/>
      <c r="IT113" s="73"/>
      <c r="IU113" s="74"/>
      <c r="IV113" s="53"/>
    </row>
    <row r="114" spans="1:256" s="78" customFormat="1" ht="14.25">
      <c r="A114" s="70"/>
      <c r="B114" s="112" t="s">
        <v>400</v>
      </c>
      <c r="C114" s="72"/>
      <c r="D114" s="73"/>
      <c r="E114" s="74"/>
      <c r="F114" s="72"/>
      <c r="G114" s="73"/>
      <c r="H114" s="74"/>
      <c r="I114" s="72"/>
      <c r="J114" s="73"/>
      <c r="K114" s="74">
        <f>K42</f>
        <v>102.50534132000001</v>
      </c>
      <c r="L114" s="72"/>
      <c r="M114" s="73"/>
      <c r="N114" s="74">
        <f>K114+L42+M42+N42</f>
        <v>389.21405591999996</v>
      </c>
      <c r="O114" s="50">
        <f>N114</f>
        <v>389.21405591999996</v>
      </c>
      <c r="P114" s="72"/>
      <c r="Q114" s="73"/>
      <c r="R114" s="74">
        <f>P42+Q42+R42</f>
        <v>304.43433954</v>
      </c>
      <c r="S114" s="72"/>
      <c r="T114" s="73"/>
      <c r="U114" s="74">
        <f>R114+S42+T42+U42</f>
        <v>493.07708388000003</v>
      </c>
      <c r="V114" s="72"/>
      <c r="W114" s="73"/>
      <c r="X114" s="74">
        <f>U114+V42+W42+X42</f>
        <v>830.8187169400001</v>
      </c>
      <c r="Y114" s="72"/>
      <c r="Z114" s="73"/>
      <c r="AA114" s="74">
        <f>X114+Y42+Z42+AA42</f>
        <v>1525.94260501</v>
      </c>
      <c r="AB114" s="50">
        <f t="shared" si="158"/>
        <v>1525.94260501</v>
      </c>
      <c r="AC114" s="72"/>
      <c r="AD114" s="73"/>
      <c r="AE114" s="74">
        <f>AC42+AD42+AE42</f>
        <v>843.2479992823078</v>
      </c>
      <c r="AF114" s="72"/>
      <c r="AG114" s="73"/>
      <c r="AH114" s="74">
        <f>AE114+AF42+AG42+AH42</f>
        <v>1602.092137227308</v>
      </c>
      <c r="AI114" s="72"/>
      <c r="AJ114" s="73"/>
      <c r="AK114" s="74">
        <f>AH114+AI42+AJ42+AK42</f>
        <v>2557.488571516451</v>
      </c>
      <c r="AL114" s="72"/>
      <c r="AM114" s="73"/>
      <c r="AN114" s="74">
        <f>AK114+AL42+AM42+AN42</f>
        <v>4560.114178978451</v>
      </c>
      <c r="AO114" s="50">
        <f t="shared" si="143"/>
        <v>4560.114178978451</v>
      </c>
      <c r="AP114" s="72"/>
      <c r="AQ114" s="73"/>
      <c r="AR114" s="74">
        <f>AP42+AQ42+AR42</f>
        <v>4986.872971063678</v>
      </c>
      <c r="AS114" s="72"/>
      <c r="AT114" s="73"/>
      <c r="AU114" s="74">
        <f>AR114+AS42+AT42+AU42</f>
        <v>14217.333461186274</v>
      </c>
      <c r="AV114" s="72"/>
      <c r="AW114" s="73"/>
      <c r="AX114" s="74">
        <f>AU114+AV42+AW42+AX42</f>
        <v>18939.953770744272</v>
      </c>
      <c r="AY114" s="72"/>
      <c r="AZ114" s="73"/>
      <c r="BA114" s="74">
        <f>AX114+AY42+AZ42+BA42</f>
        <v>24430.742907749605</v>
      </c>
      <c r="BB114" s="50">
        <f>BA114</f>
        <v>24430.742907749605</v>
      </c>
      <c r="BC114" s="72"/>
      <c r="BD114" s="73"/>
      <c r="BE114" s="74">
        <f>BC42+BD42+BE42</f>
        <v>8772.151762552</v>
      </c>
      <c r="BF114" s="72"/>
      <c r="BG114" s="73"/>
      <c r="BH114" s="74">
        <f>BE114+BF42+BG42+BH42</f>
        <v>29162.5631930258</v>
      </c>
      <c r="BI114" s="72"/>
      <c r="BJ114" s="73"/>
      <c r="BK114" s="74">
        <f>BH114+BI42+BJ42+BK42</f>
        <v>38053.91031227018</v>
      </c>
      <c r="BL114" s="72"/>
      <c r="BM114" s="73"/>
      <c r="BN114" s="74">
        <f>BK114+BL42+BM42+BN42</f>
        <v>46265.69974042901</v>
      </c>
      <c r="BO114" s="50">
        <f>BN114</f>
        <v>46265.69974042901</v>
      </c>
      <c r="BP114" s="72"/>
      <c r="BQ114" s="73"/>
      <c r="BR114" s="74">
        <f>BP42+BQ42+BR42</f>
        <v>8777.194355954665</v>
      </c>
      <c r="BS114" s="72"/>
      <c r="BT114" s="73"/>
      <c r="BU114" s="74">
        <f>BR114+BS42+BT42+BU42</f>
        <v>30713.846974581054</v>
      </c>
      <c r="BV114" s="72"/>
      <c r="BW114" s="73"/>
      <c r="BX114" s="74">
        <f>BU114+BV42+BW42+BX42</f>
        <v>38987.26273598972</v>
      </c>
      <c r="BY114" s="72"/>
      <c r="BZ114" s="73"/>
      <c r="CA114" s="74">
        <f>BX114+BY42+BZ42+CA42</f>
        <v>46519.00720650456</v>
      </c>
      <c r="CB114" s="50">
        <f>CA114</f>
        <v>46519.00720650456</v>
      </c>
      <c r="CC114" s="72"/>
      <c r="CD114" s="73"/>
      <c r="CE114" s="74">
        <f>CC42+CD42+CE42</f>
        <v>8777.194355954665</v>
      </c>
      <c r="CF114" s="72"/>
      <c r="CG114" s="73"/>
      <c r="CH114" s="74">
        <f>CE114+CF42+CG42+CH42</f>
        <v>30204.85792799798</v>
      </c>
      <c r="CI114" s="72"/>
      <c r="CJ114" s="73"/>
      <c r="CK114" s="74">
        <f>CH114+CI42+CJ42+CK42</f>
        <v>37787.14541408836</v>
      </c>
      <c r="CL114" s="72"/>
      <c r="CM114" s="73"/>
      <c r="CN114" s="74">
        <f>CK114+CL42+CM42+CN42</f>
        <v>44617.378895639195</v>
      </c>
      <c r="CO114" s="50">
        <f t="shared" si="147"/>
        <v>44617.378895639195</v>
      </c>
      <c r="CP114" s="72"/>
      <c r="CQ114" s="73"/>
      <c r="CR114" s="74">
        <f>CP42+CQ42+CR42</f>
        <v>8777.194355954665</v>
      </c>
      <c r="CS114" s="72"/>
      <c r="CT114" s="73"/>
      <c r="CU114" s="74">
        <f>CR114+CS42+CT42+CU42</f>
        <v>29276.407312759988</v>
      </c>
      <c r="CV114" s="72"/>
      <c r="CW114" s="73"/>
      <c r="CX114" s="74">
        <f>CU114+CV42+CW42+CX42</f>
        <v>36188.49237210009</v>
      </c>
      <c r="CY114" s="72"/>
      <c r="CZ114" s="73"/>
      <c r="DA114" s="74">
        <f>CX114+CY42+CZ42+DA42</f>
        <v>42504.97533735393</v>
      </c>
      <c r="DB114" s="50">
        <f t="shared" si="148"/>
        <v>42504.97533735393</v>
      </c>
      <c r="DC114" s="72"/>
      <c r="DD114" s="73"/>
      <c r="DE114" s="74">
        <f>DC42+DD42+DE42</f>
        <v>8777.194355954665</v>
      </c>
      <c r="DF114" s="72"/>
      <c r="DG114" s="73"/>
      <c r="DH114" s="74">
        <f>DE114+DF42+DG42+DH42</f>
        <v>28490.059932368702</v>
      </c>
      <c r="DI114" s="72"/>
      <c r="DJ114" s="73"/>
      <c r="DK114" s="74">
        <f>DH114+DI42+DJ42+DK42</f>
        <v>34941.65059577737</v>
      </c>
      <c r="DL114" s="72"/>
      <c r="DM114" s="73"/>
      <c r="DN114" s="74">
        <f>DK114+DL42+DM42+DN42</f>
        <v>40513.330675553785</v>
      </c>
      <c r="DO114" s="50">
        <f t="shared" si="149"/>
        <v>40513.330675553785</v>
      </c>
      <c r="DP114" s="72"/>
      <c r="DQ114" s="73"/>
      <c r="DR114" s="74">
        <f>DP42+DQ42+DR42</f>
        <v>8772.151734218665</v>
      </c>
      <c r="DS114" s="72"/>
      <c r="DT114" s="73"/>
      <c r="DU114" s="74">
        <f>DR114+DS42+DT42+DU42</f>
        <v>27839.3255336959</v>
      </c>
      <c r="DV114" s="72"/>
      <c r="DW114" s="73"/>
      <c r="DX114" s="74">
        <f>DU114+DV42+DW42+DX42</f>
        <v>33622.487078757425</v>
      </c>
      <c r="DY114" s="72"/>
      <c r="DZ114" s="73"/>
      <c r="EA114" s="74">
        <f>DX114+DY42+DZ42+EA42</f>
        <v>38741.59378989826</v>
      </c>
      <c r="EB114" s="50">
        <f t="shared" si="150"/>
        <v>38741.59378989826</v>
      </c>
      <c r="EC114" s="72"/>
      <c r="ED114" s="73"/>
      <c r="EE114" s="74">
        <f>EC42+ED42+EE42</f>
        <v>8772.151734218665</v>
      </c>
      <c r="EF114" s="72"/>
      <c r="EG114" s="73"/>
      <c r="EH114" s="74">
        <f>EE114+EF42+EG42+EH42</f>
        <v>26963.960044072923</v>
      </c>
      <c r="EI114" s="72"/>
      <c r="EJ114" s="73"/>
      <c r="EK114" s="74">
        <f>EH114+EI42+EJ42+EK42</f>
        <v>32052.882684308734</v>
      </c>
      <c r="EL114" s="72"/>
      <c r="EM114" s="73"/>
      <c r="EN114" s="74">
        <f>EK114+EL42+EM42+EN42</f>
        <v>36481.94960100557</v>
      </c>
      <c r="EO114" s="50">
        <f t="shared" si="151"/>
        <v>36481.94960100557</v>
      </c>
      <c r="EP114" s="72"/>
      <c r="EQ114" s="73"/>
      <c r="ER114" s="74">
        <f>EP42+EQ42+ER42</f>
        <v>8777.194355954665</v>
      </c>
      <c r="ES114" s="72"/>
      <c r="ET114" s="73"/>
      <c r="EU114" s="74">
        <f>ER114+ES42+ET42+EU42</f>
        <v>26309.540865763953</v>
      </c>
      <c r="EV114" s="72"/>
      <c r="EW114" s="73"/>
      <c r="EX114" s="74">
        <f>EU114+EV42+EW42+EX42</f>
        <v>30814.19430812405</v>
      </c>
      <c r="EY114" s="72"/>
      <c r="EZ114" s="73"/>
      <c r="FA114" s="74">
        <f>EX114+EY42+EZ42+FA42</f>
        <v>34580.309695184886</v>
      </c>
      <c r="FB114" s="50">
        <f t="shared" si="152"/>
        <v>34580.309695184886</v>
      </c>
      <c r="FC114" s="72"/>
      <c r="FD114" s="73"/>
      <c r="FE114" s="74">
        <f>FC42+FD42+FE42</f>
        <v>8777.194355954665</v>
      </c>
      <c r="FF114" s="72"/>
      <c r="FG114" s="73"/>
      <c r="FH114" s="74">
        <f>FE114+FF42+FG42+FH42</f>
        <v>24890.897175592432</v>
      </c>
      <c r="FI114" s="72"/>
      <c r="FJ114" s="73"/>
      <c r="FK114" s="74">
        <f>FH114+FI42+FJ42+FK42</f>
        <v>28769.02986979424</v>
      </c>
      <c r="FL114" s="72"/>
      <c r="FM114" s="73"/>
      <c r="FN114" s="74">
        <f>FK114+FL42+FM42+FN42</f>
        <v>31937.746684493075</v>
      </c>
      <c r="FO114" s="50">
        <f t="shared" si="153"/>
        <v>31937.746684493075</v>
      </c>
      <c r="FP114" s="72"/>
      <c r="FQ114" s="73"/>
      <c r="FR114" s="74">
        <f>FP42+FQ42+FR42</f>
        <v>8782.876355954666</v>
      </c>
      <c r="FS114" s="72"/>
      <c r="FT114" s="73"/>
      <c r="FU114" s="74">
        <f>FR114+FS42+FT42+FU42</f>
        <v>24652.139868768067</v>
      </c>
      <c r="FV114" s="72"/>
      <c r="FW114" s="73"/>
      <c r="FX114" s="74">
        <f>FU114+FV42+FW42+FX42</f>
        <v>28205.64417755959</v>
      </c>
      <c r="FY114" s="72"/>
      <c r="FZ114" s="73"/>
      <c r="GA114" s="74">
        <f>FX114+FY42+FZ42+GA42</f>
        <v>31174.96351199142</v>
      </c>
      <c r="GB114" s="50">
        <f t="shared" si="154"/>
        <v>31174.96351199142</v>
      </c>
      <c r="GC114" s="72"/>
      <c r="GD114" s="73"/>
      <c r="GE114" s="74">
        <f>GC42+GD42+GE42</f>
        <v>8777.194355954665</v>
      </c>
      <c r="GF114" s="72"/>
      <c r="GG114" s="73"/>
      <c r="GH114" s="74">
        <f>GE114+GF42+GG42+GH42</f>
        <v>25055.707754982435</v>
      </c>
      <c r="GI114" s="72"/>
      <c r="GJ114" s="73"/>
      <c r="GK114" s="74">
        <f>GH114+GI42+GJ42+GK42</f>
        <v>28857.056606012455</v>
      </c>
      <c r="GL114" s="72"/>
      <c r="GM114" s="73"/>
      <c r="GN114" s="74">
        <f>GK114+GL42+GM42+GN42</f>
        <v>31576.574256841788</v>
      </c>
      <c r="GO114" s="50">
        <f t="shared" si="155"/>
        <v>31576.574256841788</v>
      </c>
      <c r="GP114" s="72"/>
      <c r="GQ114" s="73"/>
      <c r="GR114" s="74">
        <f>GP42+GQ42+GR42</f>
        <v>8772.151734218665</v>
      </c>
      <c r="GS114" s="72"/>
      <c r="GT114" s="73"/>
      <c r="GU114" s="74">
        <f>GR114+GS42+GT42+GU42</f>
        <v>25288.556836020205</v>
      </c>
      <c r="GV114" s="72"/>
      <c r="GW114" s="73"/>
      <c r="GX114" s="74">
        <f>GU114+GV42+GW42+GX42</f>
        <v>28942.4763833669</v>
      </c>
      <c r="GY114" s="72"/>
      <c r="GZ114" s="73"/>
      <c r="HA114" s="74">
        <f>GX114+GY42+GZ42+HA42</f>
        <v>31530.21741203223</v>
      </c>
      <c r="HB114" s="50">
        <f t="shared" si="156"/>
        <v>31530.21741203223</v>
      </c>
      <c r="HC114" s="49">
        <f t="shared" si="157"/>
        <v>487349.7605545858</v>
      </c>
      <c r="HD114" s="73"/>
      <c r="HE114" s="74"/>
      <c r="HF114" s="72"/>
      <c r="HG114" s="73"/>
      <c r="HH114" s="74"/>
      <c r="HI114" s="72"/>
      <c r="HJ114" s="73"/>
      <c r="HK114" s="74"/>
      <c r="HL114" s="72"/>
      <c r="HM114" s="73"/>
      <c r="HN114" s="74"/>
      <c r="HO114" s="50"/>
      <c r="HP114" s="72"/>
      <c r="HQ114" s="73"/>
      <c r="HR114" s="74"/>
      <c r="HS114" s="72"/>
      <c r="HT114" s="73"/>
      <c r="HU114" s="74"/>
      <c r="HV114" s="72"/>
      <c r="HW114" s="73"/>
      <c r="HX114" s="74"/>
      <c r="HY114" s="72"/>
      <c r="HZ114" s="73"/>
      <c r="IA114" s="74"/>
      <c r="IB114" s="50"/>
      <c r="IC114" s="72"/>
      <c r="ID114" s="73"/>
      <c r="IE114" s="74"/>
      <c r="IF114" s="72"/>
      <c r="IG114" s="73"/>
      <c r="IH114" s="74"/>
      <c r="II114" s="72"/>
      <c r="IJ114" s="73"/>
      <c r="IK114" s="74"/>
      <c r="IL114" s="72"/>
      <c r="IM114" s="73"/>
      <c r="IN114" s="74"/>
      <c r="IO114" s="50"/>
      <c r="IP114" s="75"/>
      <c r="IQ114" s="76"/>
      <c r="IR114" s="77"/>
      <c r="IS114" s="72"/>
      <c r="IT114" s="73"/>
      <c r="IU114" s="74"/>
      <c r="IV114" s="53"/>
    </row>
    <row r="115" spans="1:256" s="78" customFormat="1" ht="14.25">
      <c r="A115" s="70"/>
      <c r="B115" s="71" t="s">
        <v>434</v>
      </c>
      <c r="C115" s="72"/>
      <c r="D115" s="73"/>
      <c r="E115" s="74"/>
      <c r="F115" s="72"/>
      <c r="G115" s="73"/>
      <c r="H115" s="74"/>
      <c r="I115" s="72"/>
      <c r="J115" s="73"/>
      <c r="K115" s="74"/>
      <c r="L115" s="72"/>
      <c r="M115" s="73"/>
      <c r="N115" s="74"/>
      <c r="O115" s="50"/>
      <c r="P115" s="72"/>
      <c r="Q115" s="73"/>
      <c r="R115" s="74"/>
      <c r="S115" s="72"/>
      <c r="T115" s="73"/>
      <c r="U115" s="74"/>
      <c r="V115" s="72"/>
      <c r="W115" s="73"/>
      <c r="X115" s="74">
        <v>56.30631</v>
      </c>
      <c r="Y115" s="72"/>
      <c r="Z115" s="73"/>
      <c r="AA115" s="74">
        <f>X115+56.30631*3</f>
        <v>225.22524</v>
      </c>
      <c r="AB115" s="50">
        <f t="shared" si="158"/>
        <v>225.22524</v>
      </c>
      <c r="AC115" s="72"/>
      <c r="AD115" s="73"/>
      <c r="AE115" s="74">
        <f>56.30631*3</f>
        <v>168.91893000000002</v>
      </c>
      <c r="AF115" s="72"/>
      <c r="AG115" s="73"/>
      <c r="AH115" s="74">
        <f>AE115+56.30631*3</f>
        <v>337.83786000000003</v>
      </c>
      <c r="AI115" s="72"/>
      <c r="AJ115" s="73"/>
      <c r="AK115" s="74">
        <f>AH115+56.30631*2+1258.86536</f>
        <v>1709.31584</v>
      </c>
      <c r="AL115" s="72"/>
      <c r="AM115" s="73"/>
      <c r="AN115" s="74">
        <f>AK115+1258.86536*3</f>
        <v>5485.9119200000005</v>
      </c>
      <c r="AO115" s="50">
        <f t="shared" si="143"/>
        <v>5485.9119200000005</v>
      </c>
      <c r="AP115" s="72"/>
      <c r="AQ115" s="73"/>
      <c r="AR115" s="74">
        <f>1258.86536*3</f>
        <v>3776.5960800000003</v>
      </c>
      <c r="AS115" s="72"/>
      <c r="AT115" s="73"/>
      <c r="AU115" s="74">
        <f>AR115+1258.86536*3</f>
        <v>7553.1921600000005</v>
      </c>
      <c r="AV115" s="72"/>
      <c r="AW115" s="73"/>
      <c r="AX115" s="74">
        <f>AU115+1258.86536*2+2693.31729</f>
        <v>12764.240170000001</v>
      </c>
      <c r="AY115" s="72"/>
      <c r="AZ115" s="73"/>
      <c r="BA115" s="74">
        <f>AX115+2693.31729*3</f>
        <v>20844.19204</v>
      </c>
      <c r="BB115" s="50">
        <f>BA115</f>
        <v>20844.19204</v>
      </c>
      <c r="BC115" s="72"/>
      <c r="BD115" s="73"/>
      <c r="BE115" s="74">
        <f>2693.31729*3</f>
        <v>8079.95187</v>
      </c>
      <c r="BF115" s="72"/>
      <c r="BG115" s="73"/>
      <c r="BH115" s="74">
        <f>BE115+2693.31729*3</f>
        <v>16159.90374</v>
      </c>
      <c r="BI115" s="72"/>
      <c r="BJ115" s="73"/>
      <c r="BK115" s="74">
        <f>BH115+2693.31729*3</f>
        <v>24239.85561</v>
      </c>
      <c r="BL115" s="72"/>
      <c r="BM115" s="73"/>
      <c r="BN115" s="74">
        <f>BK115+2637.01098*3</f>
        <v>32150.88855</v>
      </c>
      <c r="BO115" s="50">
        <f>BN115</f>
        <v>32150.88855</v>
      </c>
      <c r="BP115" s="72"/>
      <c r="BQ115" s="73"/>
      <c r="BR115" s="74">
        <f>2637.01098*3</f>
        <v>7911.03294</v>
      </c>
      <c r="BS115" s="72"/>
      <c r="BT115" s="73"/>
      <c r="BU115" s="74">
        <f>BR115+2637.01098*3</f>
        <v>15822.06588</v>
      </c>
      <c r="BV115" s="72"/>
      <c r="BW115" s="73"/>
      <c r="BX115" s="74">
        <f>BU115+2637.01098*3</f>
        <v>23733.09882</v>
      </c>
      <c r="BY115" s="72"/>
      <c r="BZ115" s="73"/>
      <c r="CA115" s="74">
        <f>BX115+2637.01098*3</f>
        <v>31644.13176</v>
      </c>
      <c r="CB115" s="50">
        <f>CA115</f>
        <v>31644.13176</v>
      </c>
      <c r="CC115" s="72"/>
      <c r="CD115" s="73"/>
      <c r="CE115" s="74">
        <f>2637.01098*3</f>
        <v>7911.03294</v>
      </c>
      <c r="CF115" s="72"/>
      <c r="CG115" s="73"/>
      <c r="CH115" s="74">
        <f>CE115+2637.01098*3</f>
        <v>15822.06588</v>
      </c>
      <c r="CI115" s="72"/>
      <c r="CJ115" s="73"/>
      <c r="CK115" s="74">
        <f>CH115+2637.01098*2+2693.31729</f>
        <v>23789.40513</v>
      </c>
      <c r="CL115" s="72"/>
      <c r="CM115" s="73"/>
      <c r="CN115" s="74">
        <f>CK115+2693.31729*3</f>
        <v>31869.357</v>
      </c>
      <c r="CO115" s="50">
        <f t="shared" si="147"/>
        <v>31869.357</v>
      </c>
      <c r="CP115" s="72"/>
      <c r="CQ115" s="73"/>
      <c r="CR115" s="74">
        <f>2693.31729*3</f>
        <v>8079.95187</v>
      </c>
      <c r="CS115" s="72"/>
      <c r="CT115" s="73"/>
      <c r="CU115" s="74">
        <f>CR115+2693.31729*3</f>
        <v>16159.90374</v>
      </c>
      <c r="CV115" s="72"/>
      <c r="CW115" s="73"/>
      <c r="CX115" s="74">
        <f>CU115+2693.31729*3</f>
        <v>24239.85561</v>
      </c>
      <c r="CY115" s="72"/>
      <c r="CZ115" s="73"/>
      <c r="DA115" s="74">
        <f>CX115+2693.31729*3</f>
        <v>32319.80748</v>
      </c>
      <c r="DB115" s="50">
        <f t="shared" si="148"/>
        <v>32319.80748</v>
      </c>
      <c r="DC115" s="72"/>
      <c r="DD115" s="73"/>
      <c r="DE115" s="74">
        <f>2693.31729*3</f>
        <v>8079.95187</v>
      </c>
      <c r="DF115" s="72"/>
      <c r="DG115" s="73"/>
      <c r="DH115" s="74">
        <f>DE115+2693.31729*3</f>
        <v>16159.90374</v>
      </c>
      <c r="DI115" s="72"/>
      <c r="DJ115" s="73"/>
      <c r="DK115" s="74">
        <f>DH115+2693.31729*3</f>
        <v>24239.85561</v>
      </c>
      <c r="DL115" s="72"/>
      <c r="DM115" s="73"/>
      <c r="DN115" s="74">
        <f>DK115+2693.31729*3</f>
        <v>32319.80748</v>
      </c>
      <c r="DO115" s="50">
        <f t="shared" si="149"/>
        <v>32319.80748</v>
      </c>
      <c r="DP115" s="72"/>
      <c r="DQ115" s="73"/>
      <c r="DR115" s="74">
        <f>2693.31729*3</f>
        <v>8079.95187</v>
      </c>
      <c r="DS115" s="72"/>
      <c r="DT115" s="73"/>
      <c r="DU115" s="74">
        <f>DR115+2693.31729*3</f>
        <v>16159.90374</v>
      </c>
      <c r="DV115" s="72"/>
      <c r="DW115" s="73"/>
      <c r="DX115" s="74">
        <f>DU115+2693.31729*3</f>
        <v>24239.85561</v>
      </c>
      <c r="DY115" s="72"/>
      <c r="DZ115" s="73"/>
      <c r="EA115" s="74">
        <f>DX115+2566.0698*3</f>
        <v>31938.06501</v>
      </c>
      <c r="EB115" s="50">
        <f t="shared" si="150"/>
        <v>31938.06501</v>
      </c>
      <c r="EC115" s="72"/>
      <c r="ED115" s="73"/>
      <c r="EE115" s="74">
        <f>2566.0698*3</f>
        <v>7698.209400000001</v>
      </c>
      <c r="EF115" s="72"/>
      <c r="EG115" s="73"/>
      <c r="EH115" s="74">
        <f>EE115+2566.0698*3</f>
        <v>15396.418800000001</v>
      </c>
      <c r="EI115" s="72"/>
      <c r="EJ115" s="73"/>
      <c r="EK115" s="74">
        <f>EH115+2566.0698*3</f>
        <v>23094.628200000003</v>
      </c>
      <c r="EL115" s="72"/>
      <c r="EM115" s="73"/>
      <c r="EN115" s="74">
        <f>EK115+2533.05019*3</f>
        <v>30693.778770000004</v>
      </c>
      <c r="EO115" s="50">
        <f t="shared" si="151"/>
        <v>30693.778770000004</v>
      </c>
      <c r="EP115" s="72"/>
      <c r="EQ115" s="73"/>
      <c r="ER115" s="74">
        <f>2533.05019*2</f>
        <v>5066.10038</v>
      </c>
      <c r="ES115" s="72"/>
      <c r="ET115" s="73"/>
      <c r="EU115" s="74">
        <f>ER115+2533.05019*3</f>
        <v>12665.25095</v>
      </c>
      <c r="EV115" s="72"/>
      <c r="EW115" s="73"/>
      <c r="EX115" s="74">
        <f>EU115+2533.05019*2+2589.3565</f>
        <v>20320.70783</v>
      </c>
      <c r="EY115" s="72"/>
      <c r="EZ115" s="73"/>
      <c r="FA115" s="74">
        <f>EX115+2589.3565*3</f>
        <v>28088.777329999997</v>
      </c>
      <c r="FB115" s="50">
        <f t="shared" si="152"/>
        <v>28088.777329999997</v>
      </c>
      <c r="FC115" s="72"/>
      <c r="FD115" s="73"/>
      <c r="FE115" s="74">
        <f>2589.3565*3</f>
        <v>7768.0695</v>
      </c>
      <c r="FF115" s="72"/>
      <c r="FG115" s="73"/>
      <c r="FH115" s="74">
        <f>FE115+2589.3565*3</f>
        <v>15536.139</v>
      </c>
      <c r="FI115" s="72"/>
      <c r="FJ115" s="73"/>
      <c r="FK115" s="74">
        <f>FH115+2589.3565*3</f>
        <v>23304.2085</v>
      </c>
      <c r="FL115" s="72"/>
      <c r="FM115" s="73"/>
      <c r="FN115" s="74">
        <f>FK115+1730.72854*3</f>
        <v>28496.39412</v>
      </c>
      <c r="FO115" s="50">
        <f t="shared" si="153"/>
        <v>28496.39412</v>
      </c>
      <c r="FP115" s="72"/>
      <c r="FQ115" s="73"/>
      <c r="FR115" s="74">
        <f>1730.72854*3</f>
        <v>5192.18562</v>
      </c>
      <c r="FS115" s="72"/>
      <c r="FT115" s="73"/>
      <c r="FU115" s="74">
        <f>FR115+1730.72854*3</f>
        <v>10384.37124</v>
      </c>
      <c r="FV115" s="72"/>
      <c r="FW115" s="73"/>
      <c r="FX115" s="74">
        <f>FU115+1730.72854*3</f>
        <v>15576.55686</v>
      </c>
      <c r="FY115" s="72"/>
      <c r="FZ115" s="73"/>
      <c r="GA115" s="74">
        <f>FX115+534.34515*3</f>
        <v>17179.59231</v>
      </c>
      <c r="GB115" s="50">
        <f t="shared" si="154"/>
        <v>17179.59231</v>
      </c>
      <c r="GC115" s="72"/>
      <c r="GD115" s="73"/>
      <c r="GE115" s="74">
        <f>534.34515*3</f>
        <v>1603.0354499999999</v>
      </c>
      <c r="GF115" s="72"/>
      <c r="GG115" s="73"/>
      <c r="GH115" s="74">
        <f>GE115+534.34515*3</f>
        <v>3206.0708999999997</v>
      </c>
      <c r="GI115" s="72"/>
      <c r="GJ115" s="73"/>
      <c r="GK115" s="74">
        <f>GH115+534.34515*3</f>
        <v>4809.10635</v>
      </c>
      <c r="GL115" s="72"/>
      <c r="GM115" s="73"/>
      <c r="GN115" s="74">
        <f>GK115+478.03884*3</f>
        <v>6243.22287</v>
      </c>
      <c r="GO115" s="50">
        <f t="shared" si="155"/>
        <v>6243.22287</v>
      </c>
      <c r="GP115" s="72"/>
      <c r="GQ115" s="73"/>
      <c r="GR115" s="74">
        <f>478.03884*3</f>
        <v>1434.11652</v>
      </c>
      <c r="GS115" s="72"/>
      <c r="GT115" s="73"/>
      <c r="GU115" s="74">
        <f>GR115+478.03884*3</f>
        <v>2868.23304</v>
      </c>
      <c r="GV115" s="72"/>
      <c r="GW115" s="73"/>
      <c r="GX115" s="74">
        <f>GU115+478.03884*3</f>
        <v>4302.349560000001</v>
      </c>
      <c r="GY115" s="72"/>
      <c r="GZ115" s="73"/>
      <c r="HA115" s="74">
        <f>GX115+478.03884*3</f>
        <v>5736.46608</v>
      </c>
      <c r="HB115" s="50">
        <f t="shared" si="156"/>
        <v>5736.46608</v>
      </c>
      <c r="HC115" s="49">
        <f t="shared" si="157"/>
        <v>335235.61795999995</v>
      </c>
      <c r="HD115" s="73"/>
      <c r="HE115" s="74"/>
      <c r="HF115" s="72"/>
      <c r="HG115" s="73"/>
      <c r="HH115" s="74"/>
      <c r="HI115" s="72"/>
      <c r="HJ115" s="73"/>
      <c r="HK115" s="74"/>
      <c r="HL115" s="72"/>
      <c r="HM115" s="73"/>
      <c r="HN115" s="74"/>
      <c r="HO115" s="50"/>
      <c r="HP115" s="72"/>
      <c r="HQ115" s="73"/>
      <c r="HR115" s="74"/>
      <c r="HS115" s="72"/>
      <c r="HT115" s="73"/>
      <c r="HU115" s="74"/>
      <c r="HV115" s="72"/>
      <c r="HW115" s="73"/>
      <c r="HX115" s="74"/>
      <c r="HY115" s="72"/>
      <c r="HZ115" s="73"/>
      <c r="IA115" s="74"/>
      <c r="IB115" s="50"/>
      <c r="IC115" s="72"/>
      <c r="ID115" s="73"/>
      <c r="IE115" s="74"/>
      <c r="IF115" s="72"/>
      <c r="IG115" s="73"/>
      <c r="IH115" s="74"/>
      <c r="II115" s="72"/>
      <c r="IJ115" s="73"/>
      <c r="IK115" s="74"/>
      <c r="IL115" s="72"/>
      <c r="IM115" s="73"/>
      <c r="IN115" s="74"/>
      <c r="IO115" s="50"/>
      <c r="IP115" s="75"/>
      <c r="IQ115" s="76"/>
      <c r="IR115" s="77"/>
      <c r="IS115" s="72"/>
      <c r="IT115" s="73"/>
      <c r="IU115" s="74"/>
      <c r="IV115" s="53"/>
    </row>
    <row r="116" spans="1:256" s="69" customFormat="1" ht="14.25">
      <c r="A116" s="64"/>
      <c r="B116" s="65" t="s">
        <v>435</v>
      </c>
      <c r="C116" s="66"/>
      <c r="D116" s="67"/>
      <c r="E116" s="68"/>
      <c r="F116" s="66"/>
      <c r="G116" s="67"/>
      <c r="H116" s="68"/>
      <c r="I116" s="66"/>
      <c r="J116" s="67"/>
      <c r="K116" s="68">
        <f>K110-K111</f>
        <v>-745.72950132</v>
      </c>
      <c r="L116" s="66"/>
      <c r="M116" s="67"/>
      <c r="N116" s="68">
        <f>N110-N111</f>
        <v>-2162.1106959199997</v>
      </c>
      <c r="O116" s="50">
        <f>N116</f>
        <v>-2162.1106959199997</v>
      </c>
      <c r="P116" s="66"/>
      <c r="Q116" s="67"/>
      <c r="R116" s="68">
        <f>R110-R111</f>
        <v>-1434.1068195399998</v>
      </c>
      <c r="S116" s="66"/>
      <c r="T116" s="67"/>
      <c r="U116" s="68">
        <f>U110-U111</f>
        <v>-2752.42204388</v>
      </c>
      <c r="V116" s="66"/>
      <c r="W116" s="67"/>
      <c r="X116" s="68">
        <f>X110-X111</f>
        <v>-5166.187360273333</v>
      </c>
      <c r="Y116" s="66"/>
      <c r="Z116" s="67"/>
      <c r="AA116" s="68">
        <f>AA110-AA111</f>
        <v>-8952.537338343333</v>
      </c>
      <c r="AB116" s="50">
        <f t="shared" si="158"/>
        <v>-8952.537338343333</v>
      </c>
      <c r="AC116" s="66"/>
      <c r="AD116" s="67"/>
      <c r="AE116" s="68">
        <f>AE110-AE111</f>
        <v>-3936.9740892823083</v>
      </c>
      <c r="AF116" s="66"/>
      <c r="AG116" s="67"/>
      <c r="AH116" s="68">
        <f>AH110-AH111</f>
        <v>-7789.544317227309</v>
      </c>
      <c r="AI116" s="66"/>
      <c r="AJ116" s="67"/>
      <c r="AK116" s="68">
        <f>AK110-AK111</f>
        <v>-16577.261014349784</v>
      </c>
      <c r="AL116" s="66"/>
      <c r="AM116" s="67"/>
      <c r="AN116" s="68">
        <f>AN110-AN111</f>
        <v>-24130.02541077012</v>
      </c>
      <c r="AO116" s="50">
        <f t="shared" si="143"/>
        <v>-24130.02541077012</v>
      </c>
      <c r="AP116" s="66"/>
      <c r="AQ116" s="67"/>
      <c r="AR116" s="68">
        <f>AR110-AR111</f>
        <v>7005.110058769655</v>
      </c>
      <c r="AS116" s="66"/>
      <c r="AT116" s="67"/>
      <c r="AU116" s="68">
        <f>AU110-AU111</f>
        <v>1999.5356939387239</v>
      </c>
      <c r="AV116" s="66"/>
      <c r="AW116" s="67"/>
      <c r="AX116" s="68">
        <f>AX110-AX111</f>
        <v>-16382.944985952614</v>
      </c>
      <c r="AY116" s="66"/>
      <c r="AZ116" s="67"/>
      <c r="BA116" s="68">
        <f>BA110-BA111</f>
        <v>-30880.952063791276</v>
      </c>
      <c r="BB116" s="50">
        <f>BA116</f>
        <v>-30880.952063791276</v>
      </c>
      <c r="BC116" s="66"/>
      <c r="BD116" s="67"/>
      <c r="BE116" s="68">
        <f>BE110-BE111</f>
        <v>27163.207094725673</v>
      </c>
      <c r="BF116" s="66"/>
      <c r="BG116" s="67"/>
      <c r="BH116" s="68">
        <f>BH110-BH111</f>
        <v>19017.099678293547</v>
      </c>
      <c r="BI116" s="66"/>
      <c r="BJ116" s="67"/>
      <c r="BK116" s="68">
        <f>BK110-BK111</f>
        <v>-2622.2890148675215</v>
      </c>
      <c r="BL116" s="66"/>
      <c r="BM116" s="67"/>
      <c r="BN116" s="68">
        <f>BN110-BN111</f>
        <v>-19672.377595526326</v>
      </c>
      <c r="BO116" s="50">
        <f>BN116</f>
        <v>-19672.377595526326</v>
      </c>
      <c r="BP116" s="66"/>
      <c r="BQ116" s="67"/>
      <c r="BR116" s="68">
        <f>BR110-BR111</f>
        <v>38912.761858818616</v>
      </c>
      <c r="BS116" s="66"/>
      <c r="BT116" s="67"/>
      <c r="BU116" s="68">
        <f>BU110-BU111</f>
        <v>29854.195726483893</v>
      </c>
      <c r="BV116" s="66"/>
      <c r="BW116" s="67"/>
      <c r="BX116" s="68">
        <f>BX110-BX111</f>
        <v>9041.847648033552</v>
      </c>
      <c r="BY116" s="66"/>
      <c r="BZ116" s="67"/>
      <c r="CA116" s="68">
        <f>CA110-CA111</f>
        <v>-45600.573831277885</v>
      </c>
      <c r="CB116" s="50">
        <f>CA116</f>
        <v>-45600.573831277885</v>
      </c>
      <c r="CC116" s="66"/>
      <c r="CD116" s="67"/>
      <c r="CE116" s="68">
        <f>CE110-CE111</f>
        <v>39848.67111400326</v>
      </c>
      <c r="CF116" s="66"/>
      <c r="CG116" s="67"/>
      <c r="CH116" s="68">
        <f>CH110-CH111</f>
        <v>31299.094028251617</v>
      </c>
      <c r="CI116" s="66"/>
      <c r="CJ116" s="67"/>
      <c r="CK116" s="68">
        <f>CK110-CK111</f>
        <v>11747.151403286232</v>
      </c>
      <c r="CL116" s="66"/>
      <c r="CM116" s="67"/>
      <c r="CN116" s="68">
        <f>CN110-CN111</f>
        <v>-3645.097735389587</v>
      </c>
      <c r="CO116" s="50">
        <f t="shared" si="147"/>
        <v>-3645.097735389587</v>
      </c>
      <c r="CP116" s="66"/>
      <c r="CQ116" s="67"/>
      <c r="CR116" s="68">
        <f>CR110-CR111</f>
        <v>38466.959703633285</v>
      </c>
      <c r="CS116" s="66"/>
      <c r="CT116" s="67"/>
      <c r="CU116" s="68">
        <f>CU110-CU111</f>
        <v>30212.050760869635</v>
      </c>
      <c r="CV116" s="66"/>
      <c r="CW116" s="67"/>
      <c r="CX116" s="68">
        <f>CX110-CX111</f>
        <v>18679.808484904526</v>
      </c>
      <c r="CY116" s="66"/>
      <c r="CZ116" s="67"/>
      <c r="DA116" s="68">
        <f>DA110-DA111</f>
        <v>3910.1529035257117</v>
      </c>
      <c r="DB116" s="50">
        <f t="shared" si="148"/>
        <v>3910.1529035257117</v>
      </c>
      <c r="DC116" s="66"/>
      <c r="DD116" s="67"/>
      <c r="DE116" s="68">
        <f>DE110-DE111</f>
        <v>36837.69407442685</v>
      </c>
      <c r="DF116" s="66"/>
      <c r="DG116" s="67"/>
      <c r="DH116" s="68">
        <f>DH110-DH111</f>
        <v>29369.132512054493</v>
      </c>
      <c r="DI116" s="66"/>
      <c r="DJ116" s="67"/>
      <c r="DK116" s="68">
        <f>DK110-DK111</f>
        <v>14264.051298687482</v>
      </c>
      <c r="DL116" s="66"/>
      <c r="DM116" s="67"/>
      <c r="DN116" s="68">
        <f>DN110-DN111</f>
        <v>-314.84686358891486</v>
      </c>
      <c r="DO116" s="50">
        <f t="shared" si="149"/>
        <v>-314.84686358891486</v>
      </c>
      <c r="DP116" s="66"/>
      <c r="DQ116" s="67"/>
      <c r="DR116" s="68">
        <f>DR110-DR111</f>
        <v>36072.23252466785</v>
      </c>
      <c r="DS116" s="66"/>
      <c r="DT116" s="67"/>
      <c r="DU116" s="68">
        <f>DU110-DU111</f>
        <v>29249.36273923229</v>
      </c>
      <c r="DV116" s="66"/>
      <c r="DW116" s="67"/>
      <c r="DX116" s="68">
        <f>DX110-DX111</f>
        <v>10718.159620254082</v>
      </c>
      <c r="DY116" s="66"/>
      <c r="DZ116" s="67"/>
      <c r="EA116" s="68">
        <f>EA110-EA111</f>
        <v>-3026.4227033867355</v>
      </c>
      <c r="EB116" s="50">
        <f t="shared" si="150"/>
        <v>-3026.4227033867355</v>
      </c>
      <c r="EC116" s="66"/>
      <c r="ED116" s="67"/>
      <c r="EE116" s="68">
        <f>EE110-EE111</f>
        <v>35187.59472860296</v>
      </c>
      <c r="EF116" s="66"/>
      <c r="EG116" s="67"/>
      <c r="EH116" s="68">
        <f>EH110-EH111</f>
        <v>29621.832902790382</v>
      </c>
      <c r="EI116" s="66"/>
      <c r="EJ116" s="67"/>
      <c r="EK116" s="68">
        <f>EK110-EK111</f>
        <v>12206.8014855129</v>
      </c>
      <c r="EL116" s="66"/>
      <c r="EM116" s="67"/>
      <c r="EN116" s="68">
        <f>EN110-EN111</f>
        <v>-748.6822136839182</v>
      </c>
      <c r="EO116" s="50">
        <f t="shared" si="151"/>
        <v>-748.6822136839182</v>
      </c>
      <c r="EP116" s="66"/>
      <c r="EQ116" s="67"/>
      <c r="ER116" s="68">
        <f>ER110-ER111</f>
        <v>35752.19643993311</v>
      </c>
      <c r="ES116" s="66"/>
      <c r="ET116" s="67"/>
      <c r="EU116" s="68">
        <f>EU110-EU111</f>
        <v>31409.818786415497</v>
      </c>
      <c r="EV116" s="66"/>
      <c r="EW116" s="67"/>
      <c r="EX116" s="68">
        <f>EX110-EX111</f>
        <v>15611.348654880407</v>
      </c>
      <c r="EY116" s="66"/>
      <c r="EZ116" s="67"/>
      <c r="FA116" s="68">
        <f>FA110-FA111</f>
        <v>2613.733110519548</v>
      </c>
      <c r="FB116" s="50">
        <f t="shared" si="152"/>
        <v>2613.733110519548</v>
      </c>
      <c r="FC116" s="66"/>
      <c r="FD116" s="67"/>
      <c r="FE116" s="68">
        <f>FE110-FE111</f>
        <v>31807.50288370051</v>
      </c>
      <c r="FF116" s="66"/>
      <c r="FG116" s="67"/>
      <c r="FH116" s="68">
        <f>FH110-FH111</f>
        <v>28714.84999035441</v>
      </c>
      <c r="FI116" s="66"/>
      <c r="FJ116" s="67"/>
      <c r="FK116" s="68">
        <f>FK110-FK111</f>
        <v>20091.331907277592</v>
      </c>
      <c r="FL116" s="66"/>
      <c r="FM116" s="67"/>
      <c r="FN116" s="68">
        <f>FN110-FN111</f>
        <v>11248.365685453784</v>
      </c>
      <c r="FO116" s="50">
        <f t="shared" si="153"/>
        <v>11248.365685453784</v>
      </c>
      <c r="FP116" s="66"/>
      <c r="FQ116" s="67"/>
      <c r="FR116" s="68">
        <f>FR110-FR111</f>
        <v>32282.016170548697</v>
      </c>
      <c r="FS116" s="66"/>
      <c r="FT116" s="67"/>
      <c r="FU116" s="68">
        <f>FU110-FU111</f>
        <v>31544.822921776973</v>
      </c>
      <c r="FV116" s="66"/>
      <c r="FW116" s="67"/>
      <c r="FX116" s="68">
        <f>FX110-FX111</f>
        <v>22225.594313027104</v>
      </c>
      <c r="FY116" s="66"/>
      <c r="FZ116" s="67"/>
      <c r="GA116" s="68">
        <f>GA110-GA111</f>
        <v>17280.018782470295</v>
      </c>
      <c r="GB116" s="50">
        <f t="shared" si="154"/>
        <v>17280.018782470295</v>
      </c>
      <c r="GC116" s="66"/>
      <c r="GD116" s="67"/>
      <c r="GE116" s="68">
        <f>GE110-GE111</f>
        <v>35302.759959270516</v>
      </c>
      <c r="GF116" s="66"/>
      <c r="GG116" s="67"/>
      <c r="GH116" s="68">
        <f>GH110-GH111</f>
        <v>37745.46699428442</v>
      </c>
      <c r="GI116" s="66"/>
      <c r="GJ116" s="67"/>
      <c r="GK116" s="68">
        <f>GK110-GK111</f>
        <v>27672.992989337712</v>
      </c>
      <c r="GL116" s="66"/>
      <c r="GM116" s="67"/>
      <c r="GN116" s="68">
        <f>GN110-GN111</f>
        <v>22592.092606008402</v>
      </c>
      <c r="GO116" s="50">
        <f t="shared" si="155"/>
        <v>22592.092606008402</v>
      </c>
      <c r="GP116" s="66"/>
      <c r="GQ116" s="67"/>
      <c r="GR116" s="68">
        <f>GR110-GR111</f>
        <v>36703.85446561438</v>
      </c>
      <c r="GS116" s="66"/>
      <c r="GT116" s="67"/>
      <c r="GU116" s="68">
        <f>GU110-GU111</f>
        <v>39077.58872785451</v>
      </c>
      <c r="GV116" s="66"/>
      <c r="GW116" s="67"/>
      <c r="GX116" s="68">
        <f>GX110-GX111</f>
        <v>29321.46295659113</v>
      </c>
      <c r="GY116" s="66"/>
      <c r="GZ116" s="67"/>
      <c r="HA116" s="68">
        <f>HA110-HA111</f>
        <v>24372.33919542582</v>
      </c>
      <c r="HB116" s="50">
        <f t="shared" si="156"/>
        <v>24372.33919542582</v>
      </c>
      <c r="HC116" s="49">
        <f t="shared" si="157"/>
        <v>-57116.924168274534</v>
      </c>
      <c r="HD116" s="67"/>
      <c r="HE116" s="68"/>
      <c r="HF116" s="66"/>
      <c r="HG116" s="67"/>
      <c r="HH116" s="68"/>
      <c r="HI116" s="66"/>
      <c r="HJ116" s="67"/>
      <c r="HK116" s="68"/>
      <c r="HL116" s="66"/>
      <c r="HM116" s="67"/>
      <c r="HN116" s="68"/>
      <c r="HO116" s="50"/>
      <c r="HP116" s="66"/>
      <c r="HQ116" s="67"/>
      <c r="HR116" s="68"/>
      <c r="HS116" s="66"/>
      <c r="HT116" s="67"/>
      <c r="HU116" s="68"/>
      <c r="HV116" s="66"/>
      <c r="HW116" s="67"/>
      <c r="HX116" s="68"/>
      <c r="HY116" s="66"/>
      <c r="HZ116" s="67"/>
      <c r="IA116" s="68"/>
      <c r="IB116" s="50"/>
      <c r="IC116" s="66"/>
      <c r="ID116" s="67"/>
      <c r="IE116" s="68"/>
      <c r="IF116" s="66"/>
      <c r="IG116" s="67"/>
      <c r="IH116" s="68"/>
      <c r="II116" s="66"/>
      <c r="IJ116" s="67"/>
      <c r="IK116" s="68"/>
      <c r="IL116" s="66"/>
      <c r="IM116" s="67"/>
      <c r="IN116" s="68"/>
      <c r="IO116" s="50"/>
      <c r="IP116" s="66"/>
      <c r="IQ116" s="67"/>
      <c r="IR116" s="68"/>
      <c r="IS116" s="66"/>
      <c r="IT116" s="67"/>
      <c r="IU116" s="68"/>
      <c r="IV116" s="49"/>
    </row>
    <row r="117" spans="1:256" s="78" customFormat="1" ht="14.25">
      <c r="A117" s="70"/>
      <c r="B117" s="71" t="s">
        <v>436</v>
      </c>
      <c r="C117" s="72"/>
      <c r="D117" s="73"/>
      <c r="E117" s="74"/>
      <c r="F117" s="72"/>
      <c r="G117" s="73"/>
      <c r="H117" s="74"/>
      <c r="I117" s="72"/>
      <c r="J117" s="73"/>
      <c r="K117" s="74"/>
      <c r="L117" s="72"/>
      <c r="M117" s="73"/>
      <c r="N117" s="74"/>
      <c r="O117" s="50"/>
      <c r="P117" s="72"/>
      <c r="Q117" s="73"/>
      <c r="R117" s="74"/>
      <c r="S117" s="72"/>
      <c r="T117" s="73"/>
      <c r="U117" s="74"/>
      <c r="V117" s="72"/>
      <c r="W117" s="73"/>
      <c r="X117" s="74"/>
      <c r="Y117" s="72"/>
      <c r="Z117" s="73"/>
      <c r="AA117" s="74"/>
      <c r="AB117" s="50"/>
      <c r="AC117" s="72"/>
      <c r="AD117" s="73"/>
      <c r="AE117" s="74"/>
      <c r="AF117" s="72"/>
      <c r="AG117" s="73"/>
      <c r="AH117" s="74"/>
      <c r="AI117" s="72"/>
      <c r="AJ117" s="73"/>
      <c r="AK117" s="74"/>
      <c r="AL117" s="72"/>
      <c r="AM117" s="73"/>
      <c r="AN117" s="74"/>
      <c r="AO117" s="50"/>
      <c r="AP117" s="72"/>
      <c r="AQ117" s="73"/>
      <c r="AR117" s="74">
        <f>AR116/100*20</f>
        <v>1401.022011753931</v>
      </c>
      <c r="AS117" s="72"/>
      <c r="AT117" s="73"/>
      <c r="AU117" s="74">
        <f>AU116/100*20</f>
        <v>399.90713878774477</v>
      </c>
      <c r="AV117" s="72"/>
      <c r="AW117" s="73"/>
      <c r="AX117" s="74"/>
      <c r="AY117" s="72"/>
      <c r="AZ117" s="73"/>
      <c r="BA117" s="74"/>
      <c r="BB117" s="50"/>
      <c r="BC117" s="72"/>
      <c r="BD117" s="73"/>
      <c r="BE117" s="74">
        <f>BE116/100*20</f>
        <v>5432.641418945135</v>
      </c>
      <c r="BF117" s="72"/>
      <c r="BG117" s="73"/>
      <c r="BH117" s="74">
        <f>BH116/100*20</f>
        <v>3803.4199356587096</v>
      </c>
      <c r="BI117" s="72"/>
      <c r="BJ117" s="73"/>
      <c r="BK117" s="74"/>
      <c r="BL117" s="72"/>
      <c r="BM117" s="73"/>
      <c r="BN117" s="74"/>
      <c r="BO117" s="50"/>
      <c r="BP117" s="72"/>
      <c r="BQ117" s="73"/>
      <c r="BR117" s="74">
        <f>BR116/100*20</f>
        <v>7782.552371763723</v>
      </c>
      <c r="BS117" s="72"/>
      <c r="BT117" s="73"/>
      <c r="BU117" s="74">
        <f>BU116/100*20</f>
        <v>5970.839145296778</v>
      </c>
      <c r="BV117" s="72"/>
      <c r="BW117" s="73"/>
      <c r="BX117" s="74">
        <f>BX116/100*20</f>
        <v>1808.3695296067106</v>
      </c>
      <c r="BY117" s="72"/>
      <c r="BZ117" s="73"/>
      <c r="CA117" s="74"/>
      <c r="CB117" s="50"/>
      <c r="CC117" s="72"/>
      <c r="CD117" s="73"/>
      <c r="CE117" s="74">
        <f>CE116/100*20</f>
        <v>7969.734222800652</v>
      </c>
      <c r="CF117" s="72"/>
      <c r="CG117" s="73"/>
      <c r="CH117" s="74">
        <f>CH116/100*20</f>
        <v>6259.818805650324</v>
      </c>
      <c r="CI117" s="72"/>
      <c r="CJ117" s="73"/>
      <c r="CK117" s="74">
        <f>CK116/100*20</f>
        <v>2349.430280657247</v>
      </c>
      <c r="CL117" s="72"/>
      <c r="CM117" s="73"/>
      <c r="CN117" s="74"/>
      <c r="CO117" s="50"/>
      <c r="CP117" s="72"/>
      <c r="CQ117" s="73"/>
      <c r="CR117" s="74">
        <f>CR116/100*20</f>
        <v>7693.391940726657</v>
      </c>
      <c r="CS117" s="72"/>
      <c r="CT117" s="73"/>
      <c r="CU117" s="74">
        <f>CU116/100*20</f>
        <v>6042.410152173927</v>
      </c>
      <c r="CV117" s="72"/>
      <c r="CW117" s="73"/>
      <c r="CX117" s="74">
        <f>CX116/100*20</f>
        <v>3735.9616969809053</v>
      </c>
      <c r="CY117" s="72"/>
      <c r="CZ117" s="73"/>
      <c r="DA117" s="74">
        <f>DA116/100*20</f>
        <v>782.0305807051423</v>
      </c>
      <c r="DB117" s="50">
        <f>DA117</f>
        <v>782.0305807051423</v>
      </c>
      <c r="DC117" s="72"/>
      <c r="DD117" s="73"/>
      <c r="DE117" s="74">
        <f>DE116/100*20</f>
        <v>7367.53881488537</v>
      </c>
      <c r="DF117" s="72"/>
      <c r="DG117" s="73"/>
      <c r="DH117" s="74">
        <f>DH116/100*20</f>
        <v>5873.826502410899</v>
      </c>
      <c r="DI117" s="72"/>
      <c r="DJ117" s="73"/>
      <c r="DK117" s="74">
        <f>DK116/100*20</f>
        <v>2852.8102597374964</v>
      </c>
      <c r="DL117" s="72"/>
      <c r="DM117" s="73"/>
      <c r="DN117" s="74"/>
      <c r="DO117" s="50"/>
      <c r="DP117" s="72"/>
      <c r="DQ117" s="73"/>
      <c r="DR117" s="74">
        <f>DR116/100*20</f>
        <v>7214.44650493357</v>
      </c>
      <c r="DS117" s="72"/>
      <c r="DT117" s="73"/>
      <c r="DU117" s="74">
        <f>DU116/100*20</f>
        <v>5849.872547846458</v>
      </c>
      <c r="DV117" s="72"/>
      <c r="DW117" s="73"/>
      <c r="DX117" s="74">
        <f>DX116/100*20</f>
        <v>2143.6319240508165</v>
      </c>
      <c r="DY117" s="72"/>
      <c r="DZ117" s="73"/>
      <c r="EA117" s="74"/>
      <c r="EB117" s="50"/>
      <c r="EC117" s="72"/>
      <c r="ED117" s="73"/>
      <c r="EE117" s="74">
        <f>EE116/100*20</f>
        <v>7037.5189457205925</v>
      </c>
      <c r="EF117" s="72"/>
      <c r="EG117" s="73"/>
      <c r="EH117" s="74">
        <f>EH116/100*20</f>
        <v>5924.366580558076</v>
      </c>
      <c r="EI117" s="72"/>
      <c r="EJ117" s="73"/>
      <c r="EK117" s="74">
        <f>EK116/100*20</f>
        <v>2441.3602971025803</v>
      </c>
      <c r="EL117" s="72"/>
      <c r="EM117" s="73"/>
      <c r="EN117" s="74"/>
      <c r="EO117" s="50"/>
      <c r="EP117" s="72"/>
      <c r="EQ117" s="73"/>
      <c r="ER117" s="74">
        <f>ER116/100*20</f>
        <v>7150.439287986623</v>
      </c>
      <c r="ES117" s="72"/>
      <c r="ET117" s="73"/>
      <c r="EU117" s="74">
        <f>EU116/100*20</f>
        <v>6281.9637572831</v>
      </c>
      <c r="EV117" s="72"/>
      <c r="EW117" s="73"/>
      <c r="EX117" s="74">
        <f>EX116/100*20</f>
        <v>3122.2697309760815</v>
      </c>
      <c r="EY117" s="72"/>
      <c r="EZ117" s="73"/>
      <c r="FA117" s="74">
        <f>FA116/100*20</f>
        <v>522.7466221039097</v>
      </c>
      <c r="FB117" s="50">
        <f>FA117</f>
        <v>522.7466221039097</v>
      </c>
      <c r="FC117" s="72"/>
      <c r="FD117" s="73"/>
      <c r="FE117" s="74">
        <f>FE116/100*20</f>
        <v>6361.500576740102</v>
      </c>
      <c r="FF117" s="72"/>
      <c r="FG117" s="73"/>
      <c r="FH117" s="74">
        <f>FH116/100*20</f>
        <v>5742.969998070883</v>
      </c>
      <c r="FI117" s="72"/>
      <c r="FJ117" s="73"/>
      <c r="FK117" s="74">
        <f>FK116/100*20</f>
        <v>4018.2663814555185</v>
      </c>
      <c r="FL117" s="72"/>
      <c r="FM117" s="73"/>
      <c r="FN117" s="74">
        <f>FN116/100*20</f>
        <v>2249.673137090757</v>
      </c>
      <c r="FO117" s="50">
        <f>FN117</f>
        <v>2249.673137090757</v>
      </c>
      <c r="FP117" s="72"/>
      <c r="FQ117" s="73"/>
      <c r="FR117" s="74">
        <f>FR116/100*20</f>
        <v>6456.403234109739</v>
      </c>
      <c r="FS117" s="72"/>
      <c r="FT117" s="73"/>
      <c r="FU117" s="74">
        <f>FU116/100*20</f>
        <v>6308.964584355394</v>
      </c>
      <c r="FV117" s="72"/>
      <c r="FW117" s="73"/>
      <c r="FX117" s="74">
        <f>FX116/100*20</f>
        <v>4445.118862605421</v>
      </c>
      <c r="FY117" s="72"/>
      <c r="FZ117" s="73"/>
      <c r="GA117" s="74">
        <f>GA116/100*20</f>
        <v>3456.0037564940594</v>
      </c>
      <c r="GB117" s="50">
        <f t="shared" si="154"/>
        <v>3456.0037564940594</v>
      </c>
      <c r="GC117" s="72"/>
      <c r="GD117" s="73"/>
      <c r="GE117" s="74">
        <f>GE116/100*20</f>
        <v>7060.551991854103</v>
      </c>
      <c r="GF117" s="72"/>
      <c r="GG117" s="73"/>
      <c r="GH117" s="74">
        <f>GH116/100*20</f>
        <v>7549.093398856884</v>
      </c>
      <c r="GI117" s="72"/>
      <c r="GJ117" s="73"/>
      <c r="GK117" s="74">
        <f>GK116/100*20</f>
        <v>5534.598597867543</v>
      </c>
      <c r="GL117" s="72"/>
      <c r="GM117" s="73"/>
      <c r="GN117" s="74">
        <f>GN116/100*20</f>
        <v>4518.41852120168</v>
      </c>
      <c r="GO117" s="50">
        <f t="shared" si="155"/>
        <v>4518.41852120168</v>
      </c>
      <c r="GP117" s="72"/>
      <c r="GQ117" s="73"/>
      <c r="GR117" s="74">
        <f>GR116/100*20</f>
        <v>7340.770893122876</v>
      </c>
      <c r="GS117" s="72"/>
      <c r="GT117" s="73"/>
      <c r="GU117" s="74">
        <f>GU116/100*20</f>
        <v>7815.517745570902</v>
      </c>
      <c r="GV117" s="72"/>
      <c r="GW117" s="73"/>
      <c r="GX117" s="74">
        <f>GX116/100*20</f>
        <v>5864.292591318226</v>
      </c>
      <c r="GY117" s="72"/>
      <c r="GZ117" s="73"/>
      <c r="HA117" s="74">
        <f>HA116/100*20</f>
        <v>4874.467839085163</v>
      </c>
      <c r="HB117" s="50">
        <f t="shared" si="156"/>
        <v>4874.467839085163</v>
      </c>
      <c r="HC117" s="49">
        <f t="shared" si="157"/>
        <v>16403.34045668071</v>
      </c>
      <c r="HD117" s="73"/>
      <c r="HE117" s="74"/>
      <c r="HF117" s="72"/>
      <c r="HG117" s="73"/>
      <c r="HH117" s="74"/>
      <c r="HI117" s="72"/>
      <c r="HJ117" s="73"/>
      <c r="HK117" s="74"/>
      <c r="HL117" s="72"/>
      <c r="HM117" s="73"/>
      <c r="HN117" s="74"/>
      <c r="HO117" s="50"/>
      <c r="HP117" s="72"/>
      <c r="HQ117" s="73"/>
      <c r="HR117" s="74"/>
      <c r="HS117" s="72"/>
      <c r="HT117" s="73"/>
      <c r="HU117" s="74"/>
      <c r="HV117" s="72"/>
      <c r="HW117" s="73"/>
      <c r="HX117" s="74"/>
      <c r="HY117" s="72"/>
      <c r="HZ117" s="73"/>
      <c r="IA117" s="74"/>
      <c r="IB117" s="50"/>
      <c r="IC117" s="72"/>
      <c r="ID117" s="73"/>
      <c r="IE117" s="74"/>
      <c r="IF117" s="72"/>
      <c r="IG117" s="73"/>
      <c r="IH117" s="74"/>
      <c r="II117" s="72"/>
      <c r="IJ117" s="73"/>
      <c r="IK117" s="74"/>
      <c r="IL117" s="72"/>
      <c r="IM117" s="73"/>
      <c r="IN117" s="74"/>
      <c r="IO117" s="50"/>
      <c r="IP117" s="75"/>
      <c r="IQ117" s="76"/>
      <c r="IR117" s="77"/>
      <c r="IS117" s="72"/>
      <c r="IT117" s="73"/>
      <c r="IU117" s="74"/>
      <c r="IV117" s="53"/>
    </row>
    <row r="118" spans="1:256" s="69" customFormat="1" ht="14.25">
      <c r="A118" s="64"/>
      <c r="B118" s="85" t="s">
        <v>437</v>
      </c>
      <c r="C118" s="66"/>
      <c r="D118" s="67"/>
      <c r="E118" s="68"/>
      <c r="F118" s="66"/>
      <c r="G118" s="67"/>
      <c r="H118" s="68"/>
      <c r="I118" s="66"/>
      <c r="J118" s="67"/>
      <c r="K118" s="68">
        <f>K116</f>
        <v>-745.72950132</v>
      </c>
      <c r="L118" s="66"/>
      <c r="M118" s="67"/>
      <c r="N118" s="68">
        <f>N116</f>
        <v>-2162.1106959199997</v>
      </c>
      <c r="O118" s="50">
        <f>N118</f>
        <v>-2162.1106959199997</v>
      </c>
      <c r="P118" s="66"/>
      <c r="Q118" s="67"/>
      <c r="R118" s="68">
        <f>R116-R117</f>
        <v>-1434.1068195399998</v>
      </c>
      <c r="S118" s="66"/>
      <c r="T118" s="67"/>
      <c r="U118" s="68">
        <f>U116-U117</f>
        <v>-2752.42204388</v>
      </c>
      <c r="V118" s="66"/>
      <c r="W118" s="67"/>
      <c r="X118" s="68">
        <f>X116-X117</f>
        <v>-5166.187360273333</v>
      </c>
      <c r="Y118" s="66"/>
      <c r="Z118" s="67"/>
      <c r="AA118" s="68">
        <f>AA116-AA117</f>
        <v>-8952.537338343333</v>
      </c>
      <c r="AB118" s="50">
        <f>AA118</f>
        <v>-8952.537338343333</v>
      </c>
      <c r="AC118" s="66"/>
      <c r="AD118" s="67"/>
      <c r="AE118" s="68">
        <f>AE116-AE117</f>
        <v>-3936.9740892823083</v>
      </c>
      <c r="AF118" s="66"/>
      <c r="AG118" s="67"/>
      <c r="AH118" s="68">
        <f>AH116-AH117</f>
        <v>-7789.544317227309</v>
      </c>
      <c r="AI118" s="66"/>
      <c r="AJ118" s="67"/>
      <c r="AK118" s="68">
        <f>AK116-AK117</f>
        <v>-16577.261014349784</v>
      </c>
      <c r="AL118" s="66"/>
      <c r="AM118" s="67"/>
      <c r="AN118" s="68">
        <f>AN116-AN117</f>
        <v>-24130.02541077012</v>
      </c>
      <c r="AO118" s="50">
        <f>AN118</f>
        <v>-24130.02541077012</v>
      </c>
      <c r="AP118" s="66"/>
      <c r="AQ118" s="67"/>
      <c r="AR118" s="68">
        <f>AR116-AR117</f>
        <v>5604.0880470157235</v>
      </c>
      <c r="AS118" s="66"/>
      <c r="AT118" s="67"/>
      <c r="AU118" s="68">
        <f>AU116-AU117</f>
        <v>1599.628555150979</v>
      </c>
      <c r="AV118" s="66"/>
      <c r="AW118" s="67"/>
      <c r="AX118" s="68">
        <f>AX116-AX117</f>
        <v>-16382.944985952614</v>
      </c>
      <c r="AY118" s="66"/>
      <c r="AZ118" s="67"/>
      <c r="BA118" s="68">
        <f>BA116-BA117</f>
        <v>-30880.952063791276</v>
      </c>
      <c r="BB118" s="50">
        <f>BA118</f>
        <v>-30880.952063791276</v>
      </c>
      <c r="BC118" s="66"/>
      <c r="BD118" s="67"/>
      <c r="BE118" s="68">
        <f>BE116-BE117</f>
        <v>21730.565675780537</v>
      </c>
      <c r="BF118" s="66"/>
      <c r="BG118" s="67"/>
      <c r="BH118" s="68">
        <f>BH116-BH117</f>
        <v>15213.679742634838</v>
      </c>
      <c r="BI118" s="66"/>
      <c r="BJ118" s="67"/>
      <c r="BK118" s="68">
        <f>BK116-BK117</f>
        <v>-2622.2890148675215</v>
      </c>
      <c r="BL118" s="66"/>
      <c r="BM118" s="67"/>
      <c r="BN118" s="68">
        <f>BN116-BN117</f>
        <v>-19672.377595526326</v>
      </c>
      <c r="BO118" s="50">
        <f>BN118</f>
        <v>-19672.377595526326</v>
      </c>
      <c r="BP118" s="66"/>
      <c r="BQ118" s="67"/>
      <c r="BR118" s="68">
        <f>BR116-BR117</f>
        <v>31130.209487054894</v>
      </c>
      <c r="BS118" s="66"/>
      <c r="BT118" s="67"/>
      <c r="BU118" s="68">
        <f>BU116-BU117</f>
        <v>23883.356581187116</v>
      </c>
      <c r="BV118" s="66"/>
      <c r="BW118" s="67"/>
      <c r="BX118" s="68">
        <f>BX116-BX117</f>
        <v>7233.478118426841</v>
      </c>
      <c r="BY118" s="66"/>
      <c r="BZ118" s="67"/>
      <c r="CA118" s="68">
        <f>CA116-CA117</f>
        <v>-45600.573831277885</v>
      </c>
      <c r="CB118" s="50">
        <f>CA118</f>
        <v>-45600.573831277885</v>
      </c>
      <c r="CC118" s="66"/>
      <c r="CD118" s="67"/>
      <c r="CE118" s="68">
        <f>CE116-CE117</f>
        <v>31878.936891202604</v>
      </c>
      <c r="CF118" s="66"/>
      <c r="CG118" s="67"/>
      <c r="CH118" s="68">
        <f>CH116-CH117</f>
        <v>25039.275222601293</v>
      </c>
      <c r="CI118" s="66"/>
      <c r="CJ118" s="67"/>
      <c r="CK118" s="68">
        <f>CK116-CK117</f>
        <v>9397.721122628986</v>
      </c>
      <c r="CL118" s="66"/>
      <c r="CM118" s="67"/>
      <c r="CN118" s="68">
        <f>CN116-CN117</f>
        <v>-3645.097735389587</v>
      </c>
      <c r="CO118" s="50">
        <f>CN118</f>
        <v>-3645.097735389587</v>
      </c>
      <c r="CP118" s="66"/>
      <c r="CQ118" s="67"/>
      <c r="CR118" s="68">
        <f>CR116-CR117</f>
        <v>30773.567762906627</v>
      </c>
      <c r="CS118" s="66"/>
      <c r="CT118" s="67"/>
      <c r="CU118" s="68">
        <f>CU116-CU117</f>
        <v>24169.640608695707</v>
      </c>
      <c r="CV118" s="66"/>
      <c r="CW118" s="67"/>
      <c r="CX118" s="68">
        <f>CX116-CX117</f>
        <v>14943.846787923621</v>
      </c>
      <c r="CY118" s="66"/>
      <c r="CZ118" s="67"/>
      <c r="DA118" s="68">
        <f>DA116-DA117</f>
        <v>3128.1223228205695</v>
      </c>
      <c r="DB118" s="50">
        <f>DA118</f>
        <v>3128.1223228205695</v>
      </c>
      <c r="DC118" s="66"/>
      <c r="DD118" s="67"/>
      <c r="DE118" s="68">
        <f>DE116-DE117</f>
        <v>29470.15525954148</v>
      </c>
      <c r="DF118" s="66"/>
      <c r="DG118" s="67"/>
      <c r="DH118" s="68">
        <f>DH116-DH117</f>
        <v>23495.306009643595</v>
      </c>
      <c r="DI118" s="66"/>
      <c r="DJ118" s="67"/>
      <c r="DK118" s="68">
        <f>DK116-DK117</f>
        <v>11411.241038949986</v>
      </c>
      <c r="DL118" s="66"/>
      <c r="DM118" s="67"/>
      <c r="DN118" s="68">
        <f>DN116-DN117</f>
        <v>-314.84686358891486</v>
      </c>
      <c r="DO118" s="50">
        <f>DN118</f>
        <v>-314.84686358891486</v>
      </c>
      <c r="DP118" s="66"/>
      <c r="DQ118" s="67"/>
      <c r="DR118" s="68">
        <f>DR116-DR117</f>
        <v>28857.78601973428</v>
      </c>
      <c r="DS118" s="66"/>
      <c r="DT118" s="67"/>
      <c r="DU118" s="68">
        <f>DU116-DU117</f>
        <v>23399.49019138583</v>
      </c>
      <c r="DV118" s="66"/>
      <c r="DW118" s="67"/>
      <c r="DX118" s="68">
        <f>DX116-DX117</f>
        <v>8574.527696203266</v>
      </c>
      <c r="DY118" s="66"/>
      <c r="DZ118" s="67"/>
      <c r="EA118" s="68">
        <f>EA116-EA117</f>
        <v>-3026.4227033867355</v>
      </c>
      <c r="EB118" s="50">
        <f>EA118</f>
        <v>-3026.4227033867355</v>
      </c>
      <c r="EC118" s="66"/>
      <c r="ED118" s="67"/>
      <c r="EE118" s="68">
        <f>EE116-EE117</f>
        <v>28150.07578288237</v>
      </c>
      <c r="EF118" s="66"/>
      <c r="EG118" s="67"/>
      <c r="EH118" s="68">
        <f>EH116-EH117</f>
        <v>23697.466322232307</v>
      </c>
      <c r="EI118" s="66"/>
      <c r="EJ118" s="67"/>
      <c r="EK118" s="68">
        <f>EK116-EK117</f>
        <v>9765.441188410321</v>
      </c>
      <c r="EL118" s="66"/>
      <c r="EM118" s="67"/>
      <c r="EN118" s="68">
        <f>EN116-EN117</f>
        <v>-748.6822136839182</v>
      </c>
      <c r="EO118" s="50">
        <f>EN118</f>
        <v>-748.6822136839182</v>
      </c>
      <c r="EP118" s="66"/>
      <c r="EQ118" s="67"/>
      <c r="ER118" s="68">
        <f>ER116-ER117</f>
        <v>28601.75715194649</v>
      </c>
      <c r="ES118" s="66"/>
      <c r="ET118" s="67"/>
      <c r="EU118" s="68">
        <f>EU116-EU117</f>
        <v>25127.8550291324</v>
      </c>
      <c r="EV118" s="66"/>
      <c r="EW118" s="67"/>
      <c r="EX118" s="68">
        <f>EX116-EX117</f>
        <v>12489.078923904326</v>
      </c>
      <c r="EY118" s="66"/>
      <c r="EZ118" s="67"/>
      <c r="FA118" s="68">
        <f>FA116-FA117</f>
        <v>2090.9864884156386</v>
      </c>
      <c r="FB118" s="50">
        <f>FA118</f>
        <v>2090.9864884156386</v>
      </c>
      <c r="FC118" s="66"/>
      <c r="FD118" s="67"/>
      <c r="FE118" s="68">
        <f>FE116-FE117</f>
        <v>25446.002306960407</v>
      </c>
      <c r="FF118" s="66"/>
      <c r="FG118" s="67"/>
      <c r="FH118" s="68">
        <f>FH116-FH117</f>
        <v>22971.879992283528</v>
      </c>
      <c r="FI118" s="66"/>
      <c r="FJ118" s="67"/>
      <c r="FK118" s="68">
        <f>FK116-FK117</f>
        <v>16073.065525822074</v>
      </c>
      <c r="FL118" s="66"/>
      <c r="FM118" s="67"/>
      <c r="FN118" s="68">
        <f>FN116-FN117</f>
        <v>8998.692548363028</v>
      </c>
      <c r="FO118" s="50">
        <f>FN118</f>
        <v>8998.692548363028</v>
      </c>
      <c r="FP118" s="66"/>
      <c r="FQ118" s="67"/>
      <c r="FR118" s="68">
        <f>FR116-FR117</f>
        <v>25825.612936438956</v>
      </c>
      <c r="FS118" s="66"/>
      <c r="FT118" s="67"/>
      <c r="FU118" s="68">
        <f>FU116-FU117</f>
        <v>25235.858337421578</v>
      </c>
      <c r="FV118" s="66"/>
      <c r="FW118" s="67"/>
      <c r="FX118" s="68">
        <f>FX116-FX117</f>
        <v>17780.475450421683</v>
      </c>
      <c r="FY118" s="66"/>
      <c r="FZ118" s="67"/>
      <c r="GA118" s="68">
        <f>GA116-GA117</f>
        <v>13824.015025976236</v>
      </c>
      <c r="GB118" s="50">
        <f>GA118</f>
        <v>13824.015025976236</v>
      </c>
      <c r="GC118" s="66"/>
      <c r="GD118" s="67"/>
      <c r="GE118" s="68">
        <f>GE116-GE117</f>
        <v>28242.207967416412</v>
      </c>
      <c r="GF118" s="66"/>
      <c r="GG118" s="67"/>
      <c r="GH118" s="68">
        <f>GH116-GH117</f>
        <v>30196.373595427536</v>
      </c>
      <c r="GI118" s="66"/>
      <c r="GJ118" s="67"/>
      <c r="GK118" s="68">
        <f>GK116-GK117</f>
        <v>22138.39439147017</v>
      </c>
      <c r="GL118" s="66"/>
      <c r="GM118" s="67"/>
      <c r="GN118" s="68">
        <f>GN116-GN117</f>
        <v>18073.67408480672</v>
      </c>
      <c r="GO118" s="50">
        <f>GN118</f>
        <v>18073.67408480672</v>
      </c>
      <c r="GP118" s="66"/>
      <c r="GQ118" s="67"/>
      <c r="GR118" s="68">
        <f>GR116-GR117</f>
        <v>29363.0835724915</v>
      </c>
      <c r="GS118" s="66"/>
      <c r="GT118" s="67"/>
      <c r="GU118" s="68">
        <f>GU116-GU117</f>
        <v>31262.07098228361</v>
      </c>
      <c r="GV118" s="66"/>
      <c r="GW118" s="67"/>
      <c r="GX118" s="68">
        <f>GX116-GX117</f>
        <v>23457.170365272905</v>
      </c>
      <c r="GY118" s="66"/>
      <c r="GZ118" s="67"/>
      <c r="HA118" s="68">
        <f>HA116-HA117</f>
        <v>19497.871356340656</v>
      </c>
      <c r="HB118" s="50">
        <f>HA118</f>
        <v>19497.871356340656</v>
      </c>
      <c r="HC118" s="49">
        <f t="shared" si="157"/>
        <v>-73520.26462495523</v>
      </c>
      <c r="HD118" s="67"/>
      <c r="HE118" s="68"/>
      <c r="HF118" s="66"/>
      <c r="HG118" s="67"/>
      <c r="HH118" s="68"/>
      <c r="HI118" s="66"/>
      <c r="HJ118" s="67"/>
      <c r="HK118" s="68"/>
      <c r="HL118" s="66"/>
      <c r="HM118" s="67"/>
      <c r="HN118" s="68"/>
      <c r="HO118" s="58"/>
      <c r="HP118" s="66"/>
      <c r="HQ118" s="67"/>
      <c r="HR118" s="68"/>
      <c r="HS118" s="66"/>
      <c r="HT118" s="67"/>
      <c r="HU118" s="68"/>
      <c r="HV118" s="66"/>
      <c r="HW118" s="67"/>
      <c r="HX118" s="68"/>
      <c r="HY118" s="66"/>
      <c r="HZ118" s="67"/>
      <c r="IA118" s="68"/>
      <c r="IB118" s="58"/>
      <c r="IC118" s="66"/>
      <c r="ID118" s="67"/>
      <c r="IE118" s="68"/>
      <c r="IF118" s="66"/>
      <c r="IG118" s="67"/>
      <c r="IH118" s="68"/>
      <c r="II118" s="66"/>
      <c r="IJ118" s="67"/>
      <c r="IK118" s="68"/>
      <c r="IL118" s="66"/>
      <c r="IM118" s="67"/>
      <c r="IN118" s="68"/>
      <c r="IO118" s="58"/>
      <c r="IP118" s="66"/>
      <c r="IQ118" s="67"/>
      <c r="IR118" s="68"/>
      <c r="IS118" s="66"/>
      <c r="IT118" s="67"/>
      <c r="IU118" s="68"/>
      <c r="IV118" s="86"/>
    </row>
    <row r="119" spans="1:256" s="69" customFormat="1" ht="28.5">
      <c r="A119" s="64"/>
      <c r="B119" s="85" t="s">
        <v>438</v>
      </c>
      <c r="C119" s="87"/>
      <c r="D119" s="88"/>
      <c r="E119" s="89"/>
      <c r="F119" s="87"/>
      <c r="G119" s="88"/>
      <c r="H119" s="89"/>
      <c r="I119" s="87"/>
      <c r="J119" s="88"/>
      <c r="K119" s="89"/>
      <c r="L119" s="87"/>
      <c r="M119" s="88"/>
      <c r="N119" s="89"/>
      <c r="O119" s="58">
        <f>O118</f>
        <v>-2162.1106959199997</v>
      </c>
      <c r="P119" s="87"/>
      <c r="Q119" s="88"/>
      <c r="R119" s="89"/>
      <c r="S119" s="87"/>
      <c r="T119" s="88"/>
      <c r="U119" s="89"/>
      <c r="V119" s="87"/>
      <c r="W119" s="88"/>
      <c r="X119" s="89"/>
      <c r="Y119" s="87"/>
      <c r="Z119" s="88"/>
      <c r="AA119" s="89"/>
      <c r="AB119" s="58">
        <f>O119+AB118</f>
        <v>-11114.648034263333</v>
      </c>
      <c r="AC119" s="87"/>
      <c r="AD119" s="88"/>
      <c r="AE119" s="89"/>
      <c r="AF119" s="87"/>
      <c r="AG119" s="88"/>
      <c r="AH119" s="89"/>
      <c r="AI119" s="87"/>
      <c r="AJ119" s="88"/>
      <c r="AK119" s="89"/>
      <c r="AL119" s="87"/>
      <c r="AM119" s="88"/>
      <c r="AN119" s="89"/>
      <c r="AO119" s="58">
        <f>AB119+AO118</f>
        <v>-35244.67344503345</v>
      </c>
      <c r="AP119" s="87"/>
      <c r="AQ119" s="88"/>
      <c r="AR119" s="89"/>
      <c r="AS119" s="87"/>
      <c r="AT119" s="88"/>
      <c r="AU119" s="89"/>
      <c r="AV119" s="87"/>
      <c r="AW119" s="88"/>
      <c r="AX119" s="89"/>
      <c r="AY119" s="87"/>
      <c r="AZ119" s="88"/>
      <c r="BA119" s="89"/>
      <c r="BB119" s="58">
        <f>AO119+BB118</f>
        <v>-66125.62550882473</v>
      </c>
      <c r="BC119" s="87"/>
      <c r="BD119" s="88"/>
      <c r="BE119" s="89"/>
      <c r="BF119" s="87"/>
      <c r="BG119" s="88"/>
      <c r="BH119" s="89"/>
      <c r="BI119" s="87"/>
      <c r="BJ119" s="88"/>
      <c r="BK119" s="89"/>
      <c r="BL119" s="87"/>
      <c r="BM119" s="88"/>
      <c r="BN119" s="89"/>
      <c r="BO119" s="58">
        <f>BB119+BO118</f>
        <v>-85798.00310435105</v>
      </c>
      <c r="BP119" s="87"/>
      <c r="BQ119" s="88"/>
      <c r="BR119" s="89"/>
      <c r="BS119" s="87"/>
      <c r="BT119" s="88"/>
      <c r="BU119" s="89"/>
      <c r="BV119" s="87"/>
      <c r="BW119" s="88"/>
      <c r="BX119" s="89"/>
      <c r="BY119" s="87"/>
      <c r="BZ119" s="88"/>
      <c r="CA119" s="89"/>
      <c r="CB119" s="58">
        <f>BO119+CB118</f>
        <v>-131398.57693562895</v>
      </c>
      <c r="CC119" s="87"/>
      <c r="CD119" s="88"/>
      <c r="CE119" s="89"/>
      <c r="CF119" s="87"/>
      <c r="CG119" s="88"/>
      <c r="CH119" s="89"/>
      <c r="CI119" s="87"/>
      <c r="CJ119" s="88"/>
      <c r="CK119" s="89"/>
      <c r="CL119" s="87"/>
      <c r="CM119" s="88"/>
      <c r="CN119" s="89"/>
      <c r="CO119" s="58">
        <f>CB119+CO118</f>
        <v>-135043.67467101855</v>
      </c>
      <c r="CP119" s="87"/>
      <c r="CQ119" s="88"/>
      <c r="CR119" s="89"/>
      <c r="CS119" s="87"/>
      <c r="CT119" s="88"/>
      <c r="CU119" s="89"/>
      <c r="CV119" s="87"/>
      <c r="CW119" s="88"/>
      <c r="CX119" s="89"/>
      <c r="CY119" s="87"/>
      <c r="CZ119" s="88"/>
      <c r="DA119" s="89"/>
      <c r="DB119" s="58">
        <f>CO119+DB118</f>
        <v>-131915.552348198</v>
      </c>
      <c r="DC119" s="87"/>
      <c r="DD119" s="88"/>
      <c r="DE119" s="89"/>
      <c r="DF119" s="87"/>
      <c r="DG119" s="88"/>
      <c r="DH119" s="89"/>
      <c r="DI119" s="87"/>
      <c r="DJ119" s="88"/>
      <c r="DK119" s="89"/>
      <c r="DL119" s="87"/>
      <c r="DM119" s="88"/>
      <c r="DN119" s="89"/>
      <c r="DO119" s="58">
        <f>DB119+DO118</f>
        <v>-132230.39921178692</v>
      </c>
      <c r="DP119" s="87"/>
      <c r="DQ119" s="88"/>
      <c r="DR119" s="89"/>
      <c r="DS119" s="87"/>
      <c r="DT119" s="88"/>
      <c r="DU119" s="89"/>
      <c r="DV119" s="87"/>
      <c r="DW119" s="88"/>
      <c r="DX119" s="89"/>
      <c r="DY119" s="87"/>
      <c r="DZ119" s="88"/>
      <c r="EA119" s="89"/>
      <c r="EB119" s="58">
        <f>DO119+EB118</f>
        <v>-135256.82191517367</v>
      </c>
      <c r="EC119" s="87"/>
      <c r="ED119" s="88"/>
      <c r="EE119" s="89"/>
      <c r="EF119" s="87"/>
      <c r="EG119" s="88"/>
      <c r="EH119" s="89"/>
      <c r="EI119" s="87"/>
      <c r="EJ119" s="88"/>
      <c r="EK119" s="89"/>
      <c r="EL119" s="87"/>
      <c r="EM119" s="88"/>
      <c r="EN119" s="89"/>
      <c r="EO119" s="58">
        <f>EB119+EO118</f>
        <v>-136005.50412885757</v>
      </c>
      <c r="EP119" s="87"/>
      <c r="EQ119" s="88"/>
      <c r="ER119" s="89"/>
      <c r="ES119" s="87"/>
      <c r="ET119" s="88"/>
      <c r="EU119" s="89"/>
      <c r="EV119" s="87"/>
      <c r="EW119" s="88"/>
      <c r="EX119" s="89"/>
      <c r="EY119" s="87"/>
      <c r="EZ119" s="88"/>
      <c r="FA119" s="89"/>
      <c r="FB119" s="58">
        <f>EO119+FB118</f>
        <v>-133914.51764044195</v>
      </c>
      <c r="FC119" s="87"/>
      <c r="FD119" s="88"/>
      <c r="FE119" s="89"/>
      <c r="FF119" s="87"/>
      <c r="FG119" s="88"/>
      <c r="FH119" s="89"/>
      <c r="FI119" s="87"/>
      <c r="FJ119" s="88"/>
      <c r="FK119" s="89"/>
      <c r="FL119" s="87"/>
      <c r="FM119" s="88"/>
      <c r="FN119" s="89"/>
      <c r="FO119" s="58">
        <f>FB119+FO118</f>
        <v>-124915.82509207891</v>
      </c>
      <c r="FP119" s="87"/>
      <c r="FQ119" s="88"/>
      <c r="FR119" s="89"/>
      <c r="FS119" s="87"/>
      <c r="FT119" s="88"/>
      <c r="FU119" s="89"/>
      <c r="FV119" s="87"/>
      <c r="FW119" s="88"/>
      <c r="FX119" s="89"/>
      <c r="FY119" s="87"/>
      <c r="FZ119" s="88"/>
      <c r="GA119" s="89"/>
      <c r="GB119" s="58">
        <f>FO119+GB118</f>
        <v>-111091.81006610268</v>
      </c>
      <c r="GC119" s="87"/>
      <c r="GD119" s="88"/>
      <c r="GE119" s="89"/>
      <c r="GF119" s="87"/>
      <c r="GG119" s="88"/>
      <c r="GH119" s="89"/>
      <c r="GI119" s="87"/>
      <c r="GJ119" s="88"/>
      <c r="GK119" s="89"/>
      <c r="GL119" s="87"/>
      <c r="GM119" s="88"/>
      <c r="GN119" s="89"/>
      <c r="GO119" s="58">
        <f>GB119+GO118</f>
        <v>-93018.13598129596</v>
      </c>
      <c r="GP119" s="87"/>
      <c r="GQ119" s="88"/>
      <c r="GR119" s="89"/>
      <c r="GS119" s="87"/>
      <c r="GT119" s="88"/>
      <c r="GU119" s="89"/>
      <c r="GV119" s="87"/>
      <c r="GW119" s="88"/>
      <c r="GX119" s="89"/>
      <c r="GY119" s="87"/>
      <c r="GZ119" s="88"/>
      <c r="HA119" s="89"/>
      <c r="HB119" s="58">
        <f>GO119+HB118</f>
        <v>-73520.2646249553</v>
      </c>
      <c r="HC119" s="87">
        <f>HB119</f>
        <v>-73520.2646249553</v>
      </c>
      <c r="HD119" s="88"/>
      <c r="HE119" s="89"/>
      <c r="HF119" s="87"/>
      <c r="HG119" s="88"/>
      <c r="HH119" s="89"/>
      <c r="HI119" s="87"/>
      <c r="HJ119" s="88"/>
      <c r="HK119" s="89"/>
      <c r="HL119" s="87"/>
      <c r="HM119" s="88"/>
      <c r="HN119" s="89"/>
      <c r="HO119" s="58"/>
      <c r="HP119" s="87"/>
      <c r="HQ119" s="88"/>
      <c r="HR119" s="89"/>
      <c r="HS119" s="87"/>
      <c r="HT119" s="88"/>
      <c r="HU119" s="89"/>
      <c r="HV119" s="87"/>
      <c r="HW119" s="88"/>
      <c r="HX119" s="89"/>
      <c r="HY119" s="87"/>
      <c r="HZ119" s="88"/>
      <c r="IA119" s="89"/>
      <c r="IB119" s="58"/>
      <c r="IC119" s="87"/>
      <c r="ID119" s="88"/>
      <c r="IE119" s="89"/>
      <c r="IF119" s="87"/>
      <c r="IG119" s="88"/>
      <c r="IH119" s="89"/>
      <c r="II119" s="87"/>
      <c r="IJ119" s="88"/>
      <c r="IK119" s="89"/>
      <c r="IL119" s="87"/>
      <c r="IM119" s="88"/>
      <c r="IN119" s="89"/>
      <c r="IO119" s="58"/>
      <c r="IP119" s="66"/>
      <c r="IQ119" s="67"/>
      <c r="IR119" s="68"/>
      <c r="IS119" s="87"/>
      <c r="IT119" s="88"/>
      <c r="IU119" s="89"/>
      <c r="IV119" s="86"/>
    </row>
  </sheetData>
  <sheetProtection/>
  <printOptions horizontalCentered="1" verticalCentered="1"/>
  <pageMargins left="0.7086614173228347" right="0.7086614173228347" top="0" bottom="0" header="0.31496062992125984" footer="0.31496062992125984"/>
  <pageSetup firstPageNumber="2" useFirstPageNumber="1" horizontalDpi="600" verticalDpi="600" orientation="landscape" paperSize="9" scale="45" r:id="rId1"/>
  <headerFooter>
    <oddFooter>&amp;R&amp;P</oddFooter>
  </headerFooter>
  <colBreaks count="19" manualBreakCount="19">
    <brk id="15" min="1" max="88" man="1"/>
    <brk id="28" min="1" max="88" man="1"/>
    <brk id="41" min="1" max="88" man="1"/>
    <brk id="54" min="1" max="88" man="1"/>
    <brk id="67" min="1" max="88" man="1"/>
    <brk id="80" min="1" max="88" man="1"/>
    <brk id="93" min="1" max="88" man="1"/>
    <brk id="106" min="1" max="88" man="1"/>
    <brk id="119" min="1" max="88" man="1"/>
    <brk id="132" min="1" max="88" man="1"/>
    <brk id="145" min="1" max="88" man="1"/>
    <brk id="158" min="1" max="88" man="1"/>
    <brk id="171" min="1" max="88" man="1"/>
    <brk id="184" min="1" max="88" man="1"/>
    <brk id="197" min="1" max="88" man="1"/>
    <brk id="210" min="1" max="88" man="1"/>
    <brk id="223" min="1" max="88" man="1"/>
    <brk id="236" min="1" max="88" man="1"/>
    <brk id="249" min="1" max="8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20"/>
  <sheetViews>
    <sheetView zoomScalePageLayoutView="0" workbookViewId="0" topLeftCell="A1">
      <selection activeCell="R111" sqref="R111"/>
    </sheetView>
  </sheetViews>
  <sheetFormatPr defaultColWidth="9.00390625" defaultRowHeight="12.75"/>
  <cols>
    <col min="4" max="4" width="9.625" style="0" bestFit="1" customWidth="1"/>
    <col min="5" max="12" width="9.75390625" style="0" bestFit="1" customWidth="1"/>
    <col min="13" max="15" width="9.625" style="0" bestFit="1" customWidth="1"/>
    <col min="16" max="16" width="10.75390625" style="0" bestFit="1" customWidth="1"/>
  </cols>
  <sheetData>
    <row r="1" spans="1:10" ht="18">
      <c r="A1" s="179" t="s">
        <v>34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ht="12.75">
      <c r="A2" s="176" t="s">
        <v>0</v>
      </c>
      <c r="B2" s="176" t="s">
        <v>26</v>
      </c>
      <c r="C2" s="176" t="s">
        <v>37</v>
      </c>
      <c r="D2" s="176"/>
      <c r="E2" s="176"/>
      <c r="F2" s="176"/>
      <c r="G2" s="176" t="s">
        <v>51</v>
      </c>
      <c r="H2" s="176"/>
      <c r="I2" s="176"/>
      <c r="J2" s="176"/>
    </row>
    <row r="3" spans="1:10" ht="12.75">
      <c r="A3" s="176"/>
      <c r="B3" s="176"/>
      <c r="C3" s="176" t="s">
        <v>36</v>
      </c>
      <c r="D3" s="176"/>
      <c r="E3" s="176" t="s">
        <v>35</v>
      </c>
      <c r="F3" s="176"/>
      <c r="G3" s="176" t="s">
        <v>36</v>
      </c>
      <c r="H3" s="176"/>
      <c r="I3" s="176" t="s">
        <v>35</v>
      </c>
      <c r="J3" s="176"/>
    </row>
    <row r="4" spans="1:10" ht="12.75">
      <c r="A4" s="2">
        <v>1</v>
      </c>
      <c r="B4" s="2" t="s">
        <v>38</v>
      </c>
      <c r="C4" s="190">
        <v>3764.429</v>
      </c>
      <c r="D4" s="190"/>
      <c r="E4" s="176">
        <v>375840.59</v>
      </c>
      <c r="F4" s="176"/>
      <c r="G4" s="176">
        <v>7700.6834</v>
      </c>
      <c r="H4" s="176"/>
      <c r="I4" s="176">
        <v>768836.23</v>
      </c>
      <c r="J4" s="176"/>
    </row>
    <row r="5" spans="1:10" ht="12.75">
      <c r="A5" s="2">
        <v>2</v>
      </c>
      <c r="B5" s="2" t="s">
        <v>39</v>
      </c>
      <c r="C5" s="176">
        <v>3179.7694</v>
      </c>
      <c r="D5" s="176"/>
      <c r="E5" s="176">
        <v>317468.18</v>
      </c>
      <c r="F5" s="176"/>
      <c r="G5" s="176">
        <v>6534.3131</v>
      </c>
      <c r="H5" s="176"/>
      <c r="I5" s="176">
        <v>652385.82</v>
      </c>
      <c r="J5" s="176"/>
    </row>
    <row r="6" spans="1:10" ht="12.75">
      <c r="A6" s="2">
        <v>3</v>
      </c>
      <c r="B6" s="2" t="s">
        <v>40</v>
      </c>
      <c r="C6" s="176">
        <v>2704.8953</v>
      </c>
      <c r="D6" s="176"/>
      <c r="E6" s="176">
        <v>270056.75</v>
      </c>
      <c r="F6" s="176"/>
      <c r="G6" s="190">
        <v>5586.96</v>
      </c>
      <c r="H6" s="190"/>
      <c r="I6" s="176">
        <v>557802.09</v>
      </c>
      <c r="J6" s="176"/>
    </row>
    <row r="7" spans="1:10" ht="12.75">
      <c r="A7" s="2">
        <v>4</v>
      </c>
      <c r="B7" s="2" t="s">
        <v>41</v>
      </c>
      <c r="C7" s="176">
        <v>1820.9149</v>
      </c>
      <c r="D7" s="176"/>
      <c r="E7" s="176">
        <v>181800.14</v>
      </c>
      <c r="F7" s="176"/>
      <c r="G7" s="176">
        <v>3823.4575</v>
      </c>
      <c r="H7" s="176"/>
      <c r="I7" s="175">
        <v>381734</v>
      </c>
      <c r="J7" s="175"/>
    </row>
    <row r="8" spans="1:10" ht="12.75">
      <c r="A8" s="2">
        <v>5</v>
      </c>
      <c r="B8" s="2" t="s">
        <v>42</v>
      </c>
      <c r="C8" s="176">
        <v>629.8458</v>
      </c>
      <c r="D8" s="176"/>
      <c r="E8" s="175">
        <v>62883.8</v>
      </c>
      <c r="F8" s="175"/>
      <c r="G8" s="176">
        <v>1447.3265</v>
      </c>
      <c r="H8" s="176"/>
      <c r="I8" s="176">
        <v>144501.08</v>
      </c>
      <c r="J8" s="176"/>
    </row>
    <row r="9" spans="1:10" ht="12.75">
      <c r="A9" s="2">
        <v>6</v>
      </c>
      <c r="B9" s="2" t="s">
        <v>43</v>
      </c>
      <c r="C9" s="176">
        <v>322.5849</v>
      </c>
      <c r="D9" s="176"/>
      <c r="E9" s="176">
        <v>32206.88</v>
      </c>
      <c r="F9" s="176"/>
      <c r="G9" s="176">
        <v>850.2242</v>
      </c>
      <c r="H9" s="176"/>
      <c r="I9" s="176">
        <v>84886.38</v>
      </c>
      <c r="J9" s="176"/>
    </row>
    <row r="10" spans="1:10" ht="12.75">
      <c r="A10" s="2">
        <v>7</v>
      </c>
      <c r="B10" s="2" t="s">
        <v>44</v>
      </c>
      <c r="C10" s="176">
        <v>322.5849</v>
      </c>
      <c r="D10" s="176"/>
      <c r="E10" s="176">
        <v>32206.88</v>
      </c>
      <c r="F10" s="176"/>
      <c r="G10" s="176">
        <v>850.2242</v>
      </c>
      <c r="H10" s="176"/>
      <c r="I10" s="176">
        <v>84886.38</v>
      </c>
      <c r="J10" s="176"/>
    </row>
    <row r="11" spans="1:10" ht="12.75">
      <c r="A11" s="2">
        <v>8</v>
      </c>
      <c r="B11" s="2" t="s">
        <v>45</v>
      </c>
      <c r="C11" s="176">
        <v>322.5849</v>
      </c>
      <c r="D11" s="176"/>
      <c r="E11" s="176">
        <v>32206.88</v>
      </c>
      <c r="F11" s="176"/>
      <c r="G11" s="176">
        <v>850.2242</v>
      </c>
      <c r="H11" s="176"/>
      <c r="I11" s="176">
        <v>84886.38</v>
      </c>
      <c r="J11" s="176"/>
    </row>
    <row r="12" spans="1:10" ht="12.75">
      <c r="A12" s="2">
        <v>9</v>
      </c>
      <c r="B12" s="2" t="s">
        <v>46</v>
      </c>
      <c r="C12" s="176">
        <v>795.5597</v>
      </c>
      <c r="D12" s="176"/>
      <c r="E12" s="176">
        <v>79428.68</v>
      </c>
      <c r="F12" s="176"/>
      <c r="G12" s="176">
        <v>1777.9185</v>
      </c>
      <c r="H12" s="176"/>
      <c r="I12" s="176">
        <v>177507.38</v>
      </c>
      <c r="J12" s="176"/>
    </row>
    <row r="13" spans="1:10" ht="12.75">
      <c r="A13" s="2">
        <v>10</v>
      </c>
      <c r="B13" s="2" t="s">
        <v>47</v>
      </c>
      <c r="C13" s="176">
        <v>1958.4057</v>
      </c>
      <c r="D13" s="176"/>
      <c r="E13" s="176">
        <v>195527.23</v>
      </c>
      <c r="F13" s="176"/>
      <c r="G13" s="176">
        <v>4097.7457</v>
      </c>
      <c r="H13" s="176"/>
      <c r="I13" s="176">
        <v>409118.93</v>
      </c>
      <c r="J13" s="176"/>
    </row>
    <row r="14" spans="1:10" ht="12.75">
      <c r="A14" s="2">
        <v>11</v>
      </c>
      <c r="B14" s="2" t="s">
        <v>48</v>
      </c>
      <c r="C14" s="176">
        <v>2838.5022</v>
      </c>
      <c r="D14" s="176"/>
      <c r="E14" s="176">
        <v>283396.06</v>
      </c>
      <c r="F14" s="176"/>
      <c r="G14" s="176">
        <v>5853.4999</v>
      </c>
      <c r="H14" s="176"/>
      <c r="I14" s="176">
        <v>584413.43</v>
      </c>
      <c r="J14" s="176"/>
    </row>
    <row r="15" spans="1:10" ht="12.75">
      <c r="A15" s="2">
        <v>12</v>
      </c>
      <c r="B15" s="2" t="s">
        <v>49</v>
      </c>
      <c r="C15" s="176">
        <v>3579.8132</v>
      </c>
      <c r="D15" s="176"/>
      <c r="E15" s="176">
        <v>357408.55</v>
      </c>
      <c r="F15" s="176"/>
      <c r="G15" s="176">
        <v>7332.3831</v>
      </c>
      <c r="H15" s="176"/>
      <c r="I15" s="176">
        <v>732065.13</v>
      </c>
      <c r="J15" s="176"/>
    </row>
    <row r="16" spans="1:10" ht="12.75">
      <c r="A16" s="3">
        <v>12</v>
      </c>
      <c r="B16" s="3" t="s">
        <v>50</v>
      </c>
      <c r="C16" s="188">
        <f>C4+C5+C6+C7+C8+C9+C10+C11+C12+C13+C14+C15</f>
        <v>22239.8899</v>
      </c>
      <c r="D16" s="183"/>
      <c r="E16" s="185">
        <f>E4+E5+E6+E7+E8+E9+E10+E11+E12+E13+E14+E15</f>
        <v>2220430.6199999996</v>
      </c>
      <c r="F16" s="183"/>
      <c r="G16" s="188">
        <f>G4+G5+G6+G7+G8+G9+G10+G11+G12+G13+G14+G15</f>
        <v>46704.960300000006</v>
      </c>
      <c r="H16" s="183"/>
      <c r="I16" s="185">
        <f>I4+I5+I6+I7+I8+I9+I10+I11+I12+I13+I14+I15</f>
        <v>4663023.2299999995</v>
      </c>
      <c r="J16" s="183"/>
    </row>
    <row r="17" spans="1:16" ht="18">
      <c r="A17" s="179" t="s">
        <v>52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</row>
    <row r="18" spans="1:16" ht="12.75">
      <c r="A18" s="176"/>
      <c r="B18" s="176"/>
      <c r="C18" s="176"/>
      <c r="D18" s="176" t="s">
        <v>26</v>
      </c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8" t="s">
        <v>58</v>
      </c>
    </row>
    <row r="19" spans="1:16" ht="12.75">
      <c r="A19" s="176"/>
      <c r="B19" s="176"/>
      <c r="C19" s="176"/>
      <c r="D19" s="6">
        <v>44805</v>
      </c>
      <c r="E19" s="6">
        <v>44835</v>
      </c>
      <c r="F19" s="6">
        <v>44866</v>
      </c>
      <c r="G19" s="6">
        <v>44896</v>
      </c>
      <c r="H19" s="6">
        <v>44927</v>
      </c>
      <c r="I19" s="6">
        <v>44958</v>
      </c>
      <c r="J19" s="6">
        <v>44986</v>
      </c>
      <c r="K19" s="6">
        <v>45017</v>
      </c>
      <c r="L19" s="6">
        <v>45047</v>
      </c>
      <c r="M19" s="6">
        <v>45078</v>
      </c>
      <c r="N19" s="6">
        <v>45108</v>
      </c>
      <c r="O19" s="6">
        <v>45139</v>
      </c>
      <c r="P19" s="178"/>
    </row>
    <row r="20" spans="1:16" ht="12.75">
      <c r="A20" s="184" t="s">
        <v>54</v>
      </c>
      <c r="B20" s="184"/>
      <c r="C20" s="184"/>
      <c r="D20" s="5">
        <v>0</v>
      </c>
      <c r="E20" s="5">
        <f aca="true" t="shared" si="0" ref="E20:O20">D24</f>
        <v>81221.32</v>
      </c>
      <c r="F20" s="5">
        <f t="shared" si="0"/>
        <v>69294.09</v>
      </c>
      <c r="G20" s="5">
        <f t="shared" si="0"/>
        <v>15398.02999999997</v>
      </c>
      <c r="H20" s="5">
        <f t="shared" si="0"/>
        <v>2239.4799999999814</v>
      </c>
      <c r="I20" s="5">
        <f t="shared" si="0"/>
        <v>85398.88999999996</v>
      </c>
      <c r="J20" s="5">
        <f t="shared" si="0"/>
        <v>89230.70999999996</v>
      </c>
      <c r="K20" s="5">
        <f t="shared" si="0"/>
        <v>2773.9599999999627</v>
      </c>
      <c r="L20" s="5">
        <f t="shared" si="0"/>
        <v>73423.81999999995</v>
      </c>
      <c r="M20" s="5">
        <f t="shared" si="0"/>
        <v>10540.019999999946</v>
      </c>
      <c r="N20" s="5">
        <f t="shared" si="0"/>
        <v>1283.1399999999448</v>
      </c>
      <c r="O20" s="5">
        <f t="shared" si="0"/>
        <v>14976.25999999994</v>
      </c>
      <c r="P20" s="7">
        <f>O20</f>
        <v>14976.25999999994</v>
      </c>
    </row>
    <row r="21" spans="1:16" ht="12.75">
      <c r="A21" s="184" t="s">
        <v>55</v>
      </c>
      <c r="B21" s="184"/>
      <c r="C21" s="184"/>
      <c r="D21" s="5">
        <f aca="true" t="shared" si="1" ref="D21:O21">D22*22950</f>
        <v>160650</v>
      </c>
      <c r="E21" s="5">
        <f t="shared" si="1"/>
        <v>183600</v>
      </c>
      <c r="F21" s="5">
        <f t="shared" si="1"/>
        <v>229500</v>
      </c>
      <c r="G21" s="5">
        <f t="shared" si="1"/>
        <v>344250</v>
      </c>
      <c r="H21" s="5">
        <f t="shared" si="1"/>
        <v>459000</v>
      </c>
      <c r="I21" s="5">
        <f t="shared" si="1"/>
        <v>321300</v>
      </c>
      <c r="J21" s="5">
        <f t="shared" si="1"/>
        <v>183600</v>
      </c>
      <c r="K21" s="5">
        <f t="shared" si="1"/>
        <v>252450</v>
      </c>
      <c r="L21" s="5">
        <f t="shared" si="1"/>
        <v>0</v>
      </c>
      <c r="M21" s="5">
        <f t="shared" si="1"/>
        <v>22950</v>
      </c>
      <c r="N21" s="5">
        <f t="shared" si="1"/>
        <v>45900</v>
      </c>
      <c r="O21" s="5">
        <f t="shared" si="1"/>
        <v>91800</v>
      </c>
      <c r="P21" s="7">
        <f>D21+E21+F21+G21+H21+I21+J21+K21+L21+M21+N21+O21</f>
        <v>2295000</v>
      </c>
    </row>
    <row r="22" spans="1:16" ht="12.75">
      <c r="A22" s="184" t="s">
        <v>56</v>
      </c>
      <c r="B22" s="184"/>
      <c r="C22" s="184"/>
      <c r="D22" s="10">
        <v>7</v>
      </c>
      <c r="E22" s="10">
        <v>8</v>
      </c>
      <c r="F22" s="10">
        <v>10</v>
      </c>
      <c r="G22" s="10">
        <v>15</v>
      </c>
      <c r="H22" s="10">
        <v>20</v>
      </c>
      <c r="I22" s="10">
        <v>14</v>
      </c>
      <c r="J22" s="10">
        <v>8</v>
      </c>
      <c r="K22" s="10">
        <v>11</v>
      </c>
      <c r="L22" s="10">
        <v>0</v>
      </c>
      <c r="M22" s="10">
        <v>1</v>
      </c>
      <c r="N22" s="10">
        <v>2</v>
      </c>
      <c r="O22" s="10">
        <v>4</v>
      </c>
      <c r="P22" s="11">
        <f>D22+E22+F22+G22+H22+I22+J22+K22+L22+M22+N22+O22</f>
        <v>100</v>
      </c>
    </row>
    <row r="23" spans="1:16" ht="12.75">
      <c r="A23" s="189" t="s">
        <v>57</v>
      </c>
      <c r="B23" s="189"/>
      <c r="C23" s="189"/>
      <c r="D23" s="5">
        <f>E12</f>
        <v>79428.68</v>
      </c>
      <c r="E23" s="5">
        <f>E13</f>
        <v>195527.23</v>
      </c>
      <c r="F23" s="5">
        <f>E14</f>
        <v>283396.06</v>
      </c>
      <c r="G23" s="5">
        <f>E15</f>
        <v>357408.55</v>
      </c>
      <c r="H23" s="5">
        <f>E4</f>
        <v>375840.59</v>
      </c>
      <c r="I23" s="5">
        <f>E5</f>
        <v>317468.18</v>
      </c>
      <c r="J23" s="5">
        <f>E6</f>
        <v>270056.75</v>
      </c>
      <c r="K23" s="5">
        <f>E7</f>
        <v>181800.14</v>
      </c>
      <c r="L23" s="5">
        <f>E8</f>
        <v>62883.8</v>
      </c>
      <c r="M23" s="5">
        <f>E9</f>
        <v>32206.88</v>
      </c>
      <c r="N23" s="5">
        <f>E10</f>
        <v>32206.88</v>
      </c>
      <c r="O23" s="5">
        <f>E11</f>
        <v>32206.88</v>
      </c>
      <c r="P23" s="7">
        <f>D23+E23+F23+G23+H23+I23+J23+K23+L23+M23+N23+O23</f>
        <v>2220430.6199999996</v>
      </c>
    </row>
    <row r="24" spans="1:16" ht="12.75">
      <c r="A24" s="184" t="s">
        <v>53</v>
      </c>
      <c r="B24" s="184"/>
      <c r="C24" s="184"/>
      <c r="D24" s="5">
        <f aca="true" t="shared" si="2" ref="D24:O24">D20+D21-D23</f>
        <v>81221.32</v>
      </c>
      <c r="E24" s="5">
        <f t="shared" si="2"/>
        <v>69294.09</v>
      </c>
      <c r="F24" s="5">
        <f t="shared" si="2"/>
        <v>15398.02999999997</v>
      </c>
      <c r="G24" s="5">
        <f t="shared" si="2"/>
        <v>2239.4799999999814</v>
      </c>
      <c r="H24" s="5">
        <f t="shared" si="2"/>
        <v>85398.88999999996</v>
      </c>
      <c r="I24" s="5">
        <f t="shared" si="2"/>
        <v>89230.70999999996</v>
      </c>
      <c r="J24" s="5">
        <f t="shared" si="2"/>
        <v>2773.9599999999627</v>
      </c>
      <c r="K24" s="5">
        <f t="shared" si="2"/>
        <v>73423.81999999995</v>
      </c>
      <c r="L24" s="5">
        <f t="shared" si="2"/>
        <v>10540.019999999946</v>
      </c>
      <c r="M24" s="5">
        <f t="shared" si="2"/>
        <v>1283.1399999999448</v>
      </c>
      <c r="N24" s="5">
        <f t="shared" si="2"/>
        <v>14976.25999999994</v>
      </c>
      <c r="O24" s="5">
        <f t="shared" si="2"/>
        <v>74569.37999999993</v>
      </c>
      <c r="P24" s="7">
        <f>O24-D20</f>
        <v>74569.37999999993</v>
      </c>
    </row>
    <row r="25" spans="1:16" ht="18">
      <c r="A25" s="179" t="s">
        <v>59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</row>
    <row r="26" spans="1:16" ht="12.75">
      <c r="A26" s="176"/>
      <c r="B26" s="176"/>
      <c r="C26" s="176"/>
      <c r="D26" s="176" t="s">
        <v>26</v>
      </c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8" t="s">
        <v>58</v>
      </c>
    </row>
    <row r="27" spans="1:16" ht="12.75">
      <c r="A27" s="176"/>
      <c r="B27" s="176"/>
      <c r="C27" s="176"/>
      <c r="D27" s="6">
        <v>45170</v>
      </c>
      <c r="E27" s="6">
        <v>45200</v>
      </c>
      <c r="F27" s="6">
        <v>45231</v>
      </c>
      <c r="G27" s="6">
        <v>45261</v>
      </c>
      <c r="H27" s="6">
        <v>45292</v>
      </c>
      <c r="I27" s="6">
        <v>45323</v>
      </c>
      <c r="J27" s="6">
        <v>45352</v>
      </c>
      <c r="K27" s="6">
        <v>45383</v>
      </c>
      <c r="L27" s="6">
        <v>45413</v>
      </c>
      <c r="M27" s="6">
        <v>45444</v>
      </c>
      <c r="N27" s="6">
        <v>45474</v>
      </c>
      <c r="O27" s="6">
        <v>45505</v>
      </c>
      <c r="P27" s="178"/>
    </row>
    <row r="28" spans="1:16" ht="12.75">
      <c r="A28" s="184" t="s">
        <v>54</v>
      </c>
      <c r="B28" s="184"/>
      <c r="C28" s="184"/>
      <c r="D28" s="5">
        <f>O24</f>
        <v>74569.37999999993</v>
      </c>
      <c r="E28" s="5">
        <f aca="true" t="shared" si="3" ref="E28:O28">D32</f>
        <v>172461.99999999994</v>
      </c>
      <c r="F28" s="5">
        <f t="shared" si="3"/>
        <v>176443.07</v>
      </c>
      <c r="G28" s="5">
        <f t="shared" si="3"/>
        <v>142829.64</v>
      </c>
      <c r="H28" s="5">
        <f t="shared" si="3"/>
        <v>99264.51000000001</v>
      </c>
      <c r="I28" s="5">
        <f t="shared" si="3"/>
        <v>18928.280000000028</v>
      </c>
      <c r="J28" s="5">
        <f t="shared" si="3"/>
        <v>55042.46000000008</v>
      </c>
      <c r="K28" s="5">
        <f t="shared" si="3"/>
        <v>2140.3700000001118</v>
      </c>
      <c r="L28" s="5">
        <f t="shared" si="3"/>
        <v>148256.3700000001</v>
      </c>
      <c r="M28" s="5">
        <f t="shared" si="3"/>
        <v>3755.2900000001246</v>
      </c>
      <c r="N28" s="5">
        <f t="shared" si="3"/>
        <v>10668.91000000012</v>
      </c>
      <c r="O28" s="5">
        <f t="shared" si="3"/>
        <v>17582.530000000115</v>
      </c>
      <c r="P28" s="7">
        <f>O28</f>
        <v>17582.530000000115</v>
      </c>
    </row>
    <row r="29" spans="1:16" ht="12.75">
      <c r="A29" s="184" t="s">
        <v>55</v>
      </c>
      <c r="B29" s="184"/>
      <c r="C29" s="184"/>
      <c r="D29" s="5">
        <f aca="true" t="shared" si="4" ref="D29:O29">D30*22950</f>
        <v>275400</v>
      </c>
      <c r="E29" s="5">
        <f t="shared" si="4"/>
        <v>413100</v>
      </c>
      <c r="F29" s="5">
        <f t="shared" si="4"/>
        <v>550800</v>
      </c>
      <c r="G29" s="5">
        <f t="shared" si="4"/>
        <v>688500</v>
      </c>
      <c r="H29" s="5">
        <f t="shared" si="4"/>
        <v>688500</v>
      </c>
      <c r="I29" s="5">
        <f t="shared" si="4"/>
        <v>688500</v>
      </c>
      <c r="J29" s="5">
        <f t="shared" si="4"/>
        <v>504900</v>
      </c>
      <c r="K29" s="5">
        <f t="shared" si="4"/>
        <v>527850</v>
      </c>
      <c r="L29" s="5">
        <f t="shared" si="4"/>
        <v>0</v>
      </c>
      <c r="M29" s="5">
        <f t="shared" si="4"/>
        <v>91800</v>
      </c>
      <c r="N29" s="5">
        <f t="shared" si="4"/>
        <v>91800</v>
      </c>
      <c r="O29" s="5">
        <f t="shared" si="4"/>
        <v>229500</v>
      </c>
      <c r="P29" s="7">
        <f>D29+E29+F29+G29+H29+I29+J29+K29+L29+M29+N29+O29</f>
        <v>4750650</v>
      </c>
    </row>
    <row r="30" spans="1:16" ht="12.75">
      <c r="A30" s="184" t="s">
        <v>56</v>
      </c>
      <c r="B30" s="184"/>
      <c r="C30" s="184"/>
      <c r="D30" s="10">
        <v>12</v>
      </c>
      <c r="E30" s="10">
        <v>18</v>
      </c>
      <c r="F30" s="10">
        <v>24</v>
      </c>
      <c r="G30" s="10">
        <v>30</v>
      </c>
      <c r="H30" s="10">
        <v>30</v>
      </c>
      <c r="I30" s="10">
        <v>30</v>
      </c>
      <c r="J30" s="10">
        <v>22</v>
      </c>
      <c r="K30" s="10">
        <v>23</v>
      </c>
      <c r="L30" s="10">
        <v>0</v>
      </c>
      <c r="M30" s="10">
        <v>4</v>
      </c>
      <c r="N30" s="10">
        <v>4</v>
      </c>
      <c r="O30" s="10">
        <v>10</v>
      </c>
      <c r="P30" s="11">
        <f>D30+E30+F30+G30+H30+I30+J30+K30+L30+M30+N30+O30</f>
        <v>207</v>
      </c>
    </row>
    <row r="31" spans="1:16" ht="12.75">
      <c r="A31" s="189" t="s">
        <v>57</v>
      </c>
      <c r="B31" s="189"/>
      <c r="C31" s="189"/>
      <c r="D31" s="5">
        <f>I12</f>
        <v>177507.38</v>
      </c>
      <c r="E31" s="5">
        <f>I13</f>
        <v>409118.93</v>
      </c>
      <c r="F31" s="5">
        <f>I14</f>
        <v>584413.43</v>
      </c>
      <c r="G31" s="5">
        <f>I15</f>
        <v>732065.13</v>
      </c>
      <c r="H31" s="5">
        <f>I4</f>
        <v>768836.23</v>
      </c>
      <c r="I31" s="5">
        <f>I5</f>
        <v>652385.82</v>
      </c>
      <c r="J31" s="5">
        <f>I6</f>
        <v>557802.09</v>
      </c>
      <c r="K31" s="5">
        <f>I7</f>
        <v>381734</v>
      </c>
      <c r="L31" s="5">
        <f>I8</f>
        <v>144501.08</v>
      </c>
      <c r="M31" s="5">
        <f>I9</f>
        <v>84886.38</v>
      </c>
      <c r="N31" s="5">
        <f>I10</f>
        <v>84886.38</v>
      </c>
      <c r="O31" s="5">
        <f>I11</f>
        <v>84886.38</v>
      </c>
      <c r="P31" s="7">
        <f>D31+E31+F31+G31+H31+I31+J31+K31+L31+M31+N31+O31</f>
        <v>4663023.2299999995</v>
      </c>
    </row>
    <row r="32" spans="1:16" ht="12.75">
      <c r="A32" s="184" t="s">
        <v>53</v>
      </c>
      <c r="B32" s="184"/>
      <c r="C32" s="184"/>
      <c r="D32" s="5">
        <f aca="true" t="shared" si="5" ref="D32:O32">D28+D29-D31</f>
        <v>172461.99999999994</v>
      </c>
      <c r="E32" s="5">
        <f t="shared" si="5"/>
        <v>176443.07</v>
      </c>
      <c r="F32" s="5">
        <f t="shared" si="5"/>
        <v>142829.64</v>
      </c>
      <c r="G32" s="5">
        <f t="shared" si="5"/>
        <v>99264.51000000001</v>
      </c>
      <c r="H32" s="5">
        <f t="shared" si="5"/>
        <v>18928.280000000028</v>
      </c>
      <c r="I32" s="5">
        <f t="shared" si="5"/>
        <v>55042.46000000008</v>
      </c>
      <c r="J32" s="5">
        <f t="shared" si="5"/>
        <v>2140.3700000001118</v>
      </c>
      <c r="K32" s="5">
        <f t="shared" si="5"/>
        <v>148256.3700000001</v>
      </c>
      <c r="L32" s="5">
        <f t="shared" si="5"/>
        <v>3755.2900000001246</v>
      </c>
      <c r="M32" s="5">
        <f t="shared" si="5"/>
        <v>10668.91000000012</v>
      </c>
      <c r="N32" s="5">
        <f t="shared" si="5"/>
        <v>17582.530000000115</v>
      </c>
      <c r="O32" s="5">
        <f t="shared" si="5"/>
        <v>162196.1500000001</v>
      </c>
      <c r="P32" s="7">
        <f>O32-D28</f>
        <v>87626.77000000018</v>
      </c>
    </row>
    <row r="33" spans="1:16" ht="18">
      <c r="A33" s="179" t="s">
        <v>60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</row>
    <row r="34" spans="1:16" ht="12.75">
      <c r="A34" s="176"/>
      <c r="B34" s="176"/>
      <c r="C34" s="176"/>
      <c r="D34" s="176" t="s">
        <v>26</v>
      </c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8" t="s">
        <v>58</v>
      </c>
    </row>
    <row r="35" spans="1:16" ht="12.75">
      <c r="A35" s="176"/>
      <c r="B35" s="176"/>
      <c r="C35" s="176"/>
      <c r="D35" s="6">
        <v>45536</v>
      </c>
      <c r="E35" s="6">
        <v>45566</v>
      </c>
      <c r="F35" s="6">
        <v>45597</v>
      </c>
      <c r="G35" s="6">
        <v>45627</v>
      </c>
      <c r="H35" s="6">
        <v>45658</v>
      </c>
      <c r="I35" s="6">
        <v>45689</v>
      </c>
      <c r="J35" s="6">
        <v>45717</v>
      </c>
      <c r="K35" s="6">
        <v>45748</v>
      </c>
      <c r="L35" s="6">
        <v>45778</v>
      </c>
      <c r="M35" s="6">
        <v>45809</v>
      </c>
      <c r="N35" s="6">
        <v>45839</v>
      </c>
      <c r="O35" s="6">
        <v>45870</v>
      </c>
      <c r="P35" s="178"/>
    </row>
    <row r="36" spans="1:16" ht="12.75">
      <c r="A36" s="184" t="s">
        <v>54</v>
      </c>
      <c r="B36" s="184"/>
      <c r="C36" s="184"/>
      <c r="D36" s="5">
        <f>O32</f>
        <v>162196.1500000001</v>
      </c>
      <c r="E36" s="5">
        <f aca="true" t="shared" si="6" ref="E36:O36">D40</f>
        <v>168288.77000000014</v>
      </c>
      <c r="F36" s="5">
        <f t="shared" si="6"/>
        <v>172269.84000000014</v>
      </c>
      <c r="G36" s="5">
        <f t="shared" si="6"/>
        <v>138656.41000000003</v>
      </c>
      <c r="H36" s="5">
        <f t="shared" si="6"/>
        <v>95091.28000000003</v>
      </c>
      <c r="I36" s="5">
        <f t="shared" si="6"/>
        <v>14755.050000000047</v>
      </c>
      <c r="J36" s="5">
        <f t="shared" si="6"/>
        <v>50869.2300000001</v>
      </c>
      <c r="K36" s="5">
        <f t="shared" si="6"/>
        <v>20917.14000000013</v>
      </c>
      <c r="L36" s="5">
        <f t="shared" si="6"/>
        <v>167033.14000000013</v>
      </c>
      <c r="M36" s="5">
        <f t="shared" si="6"/>
        <v>22532.060000000143</v>
      </c>
      <c r="N36" s="5">
        <f t="shared" si="6"/>
        <v>6495.6800000001385</v>
      </c>
      <c r="O36" s="5">
        <f t="shared" si="6"/>
        <v>13409.300000000134</v>
      </c>
      <c r="P36" s="7">
        <f>O36</f>
        <v>13409.300000000134</v>
      </c>
    </row>
    <row r="37" spans="1:16" ht="12.75">
      <c r="A37" s="184" t="s">
        <v>55</v>
      </c>
      <c r="B37" s="184"/>
      <c r="C37" s="184"/>
      <c r="D37" s="5">
        <f aca="true" t="shared" si="7" ref="D37:O37">D38*22950</f>
        <v>183600</v>
      </c>
      <c r="E37" s="5">
        <f t="shared" si="7"/>
        <v>413100</v>
      </c>
      <c r="F37" s="5">
        <f t="shared" si="7"/>
        <v>550800</v>
      </c>
      <c r="G37" s="5">
        <f t="shared" si="7"/>
        <v>688500</v>
      </c>
      <c r="H37" s="5">
        <f t="shared" si="7"/>
        <v>688500</v>
      </c>
      <c r="I37" s="5">
        <f t="shared" si="7"/>
        <v>688500</v>
      </c>
      <c r="J37" s="5">
        <f t="shared" si="7"/>
        <v>527850</v>
      </c>
      <c r="K37" s="5">
        <f t="shared" si="7"/>
        <v>527850</v>
      </c>
      <c r="L37" s="5">
        <f t="shared" si="7"/>
        <v>0</v>
      </c>
      <c r="M37" s="5">
        <f t="shared" si="7"/>
        <v>68850</v>
      </c>
      <c r="N37" s="5">
        <f t="shared" si="7"/>
        <v>91800</v>
      </c>
      <c r="O37" s="5">
        <f t="shared" si="7"/>
        <v>252450</v>
      </c>
      <c r="P37" s="7">
        <f>D37+E37+F37+G37+H37+I37+J37+K37+L37+M37+N37+O37</f>
        <v>4681800</v>
      </c>
    </row>
    <row r="38" spans="1:16" ht="12.75">
      <c r="A38" s="184" t="s">
        <v>56</v>
      </c>
      <c r="B38" s="184"/>
      <c r="C38" s="184"/>
      <c r="D38" s="10">
        <v>8</v>
      </c>
      <c r="E38" s="10">
        <v>18</v>
      </c>
      <c r="F38" s="10">
        <v>24</v>
      </c>
      <c r="G38" s="10">
        <v>30</v>
      </c>
      <c r="H38" s="10">
        <v>30</v>
      </c>
      <c r="I38" s="10">
        <v>30</v>
      </c>
      <c r="J38" s="10">
        <v>23</v>
      </c>
      <c r="K38" s="10">
        <v>23</v>
      </c>
      <c r="L38" s="10">
        <v>0</v>
      </c>
      <c r="M38" s="10">
        <v>3</v>
      </c>
      <c r="N38" s="10">
        <v>4</v>
      </c>
      <c r="O38" s="10">
        <v>11</v>
      </c>
      <c r="P38" s="11">
        <f>D38+E38+F38+G38+H38+I38+J38+K38+L38+M38+N38+O38</f>
        <v>204</v>
      </c>
    </row>
    <row r="39" spans="1:16" ht="12.75">
      <c r="A39" s="189" t="s">
        <v>57</v>
      </c>
      <c r="B39" s="189"/>
      <c r="C39" s="189"/>
      <c r="D39" s="5">
        <f aca="true" t="shared" si="8" ref="D39:O39">D31</f>
        <v>177507.38</v>
      </c>
      <c r="E39" s="5">
        <f t="shared" si="8"/>
        <v>409118.93</v>
      </c>
      <c r="F39" s="5">
        <f t="shared" si="8"/>
        <v>584413.43</v>
      </c>
      <c r="G39" s="5">
        <f t="shared" si="8"/>
        <v>732065.13</v>
      </c>
      <c r="H39" s="5">
        <f t="shared" si="8"/>
        <v>768836.23</v>
      </c>
      <c r="I39" s="5">
        <f t="shared" si="8"/>
        <v>652385.82</v>
      </c>
      <c r="J39" s="5">
        <f t="shared" si="8"/>
        <v>557802.09</v>
      </c>
      <c r="K39" s="5">
        <f t="shared" si="8"/>
        <v>381734</v>
      </c>
      <c r="L39" s="5">
        <f t="shared" si="8"/>
        <v>144501.08</v>
      </c>
      <c r="M39" s="5">
        <f t="shared" si="8"/>
        <v>84886.38</v>
      </c>
      <c r="N39" s="5">
        <f t="shared" si="8"/>
        <v>84886.38</v>
      </c>
      <c r="O39" s="5">
        <f t="shared" si="8"/>
        <v>84886.38</v>
      </c>
      <c r="P39" s="7">
        <f>D39+E39+F39+G39+H39+I39+J39+K39+L39+M39+N39+O39</f>
        <v>4663023.2299999995</v>
      </c>
    </row>
    <row r="40" spans="1:16" ht="12.75">
      <c r="A40" s="184" t="s">
        <v>53</v>
      </c>
      <c r="B40" s="184"/>
      <c r="C40" s="184"/>
      <c r="D40" s="5">
        <f aca="true" t="shared" si="9" ref="D40:O40">D36+D37-D39</f>
        <v>168288.77000000014</v>
      </c>
      <c r="E40" s="5">
        <f t="shared" si="9"/>
        <v>172269.84000000014</v>
      </c>
      <c r="F40" s="5">
        <f t="shared" si="9"/>
        <v>138656.41000000003</v>
      </c>
      <c r="G40" s="5">
        <f t="shared" si="9"/>
        <v>95091.28000000003</v>
      </c>
      <c r="H40" s="5">
        <f t="shared" si="9"/>
        <v>14755.050000000047</v>
      </c>
      <c r="I40" s="5">
        <f t="shared" si="9"/>
        <v>50869.2300000001</v>
      </c>
      <c r="J40" s="5">
        <f t="shared" si="9"/>
        <v>20917.14000000013</v>
      </c>
      <c r="K40" s="5">
        <f t="shared" si="9"/>
        <v>167033.14000000013</v>
      </c>
      <c r="L40" s="5">
        <f t="shared" si="9"/>
        <v>22532.060000000143</v>
      </c>
      <c r="M40" s="5">
        <f t="shared" si="9"/>
        <v>6495.6800000001385</v>
      </c>
      <c r="N40" s="5">
        <f t="shared" si="9"/>
        <v>13409.300000000134</v>
      </c>
      <c r="O40" s="5">
        <f t="shared" si="9"/>
        <v>180972.92000000016</v>
      </c>
      <c r="P40" s="7">
        <f>O40-D36</f>
        <v>18776.770000000048</v>
      </c>
    </row>
    <row r="41" spans="1:16" ht="18">
      <c r="A41" s="179" t="s">
        <v>61</v>
      </c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</row>
    <row r="42" spans="1:16" ht="12.75">
      <c r="A42" s="176"/>
      <c r="B42" s="176"/>
      <c r="C42" s="176"/>
      <c r="D42" s="176" t="s">
        <v>26</v>
      </c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8" t="s">
        <v>58</v>
      </c>
    </row>
    <row r="43" spans="1:16" ht="12.75">
      <c r="A43" s="176"/>
      <c r="B43" s="176"/>
      <c r="C43" s="176"/>
      <c r="D43" s="6">
        <v>45901</v>
      </c>
      <c r="E43" s="6">
        <v>45931</v>
      </c>
      <c r="F43" s="6">
        <v>45962</v>
      </c>
      <c r="G43" s="6">
        <v>45992</v>
      </c>
      <c r="H43" s="6">
        <v>46023</v>
      </c>
      <c r="I43" s="6">
        <v>46054</v>
      </c>
      <c r="J43" s="6">
        <v>46082</v>
      </c>
      <c r="K43" s="6">
        <v>46113</v>
      </c>
      <c r="L43" s="6">
        <v>46143</v>
      </c>
      <c r="M43" s="6">
        <v>46174</v>
      </c>
      <c r="N43" s="6">
        <v>46204</v>
      </c>
      <c r="O43" s="6">
        <v>46235</v>
      </c>
      <c r="P43" s="178"/>
    </row>
    <row r="44" spans="1:16" ht="12.75">
      <c r="A44" s="184" t="s">
        <v>54</v>
      </c>
      <c r="B44" s="184"/>
      <c r="C44" s="184"/>
      <c r="D44" s="5">
        <f>O40</f>
        <v>180972.92000000016</v>
      </c>
      <c r="E44" s="5">
        <f aca="true" t="shared" si="10" ref="E44:O44">D48</f>
        <v>164115.54000000015</v>
      </c>
      <c r="F44" s="5">
        <f t="shared" si="10"/>
        <v>168096.61000000016</v>
      </c>
      <c r="G44" s="5">
        <f t="shared" si="10"/>
        <v>134483.18000000005</v>
      </c>
      <c r="H44" s="5">
        <f t="shared" si="10"/>
        <v>90918.05000000005</v>
      </c>
      <c r="I44" s="5">
        <f t="shared" si="10"/>
        <v>10581.820000000065</v>
      </c>
      <c r="J44" s="5">
        <f t="shared" si="10"/>
        <v>46696.00000000012</v>
      </c>
      <c r="K44" s="5">
        <f t="shared" si="10"/>
        <v>16743.91000000015</v>
      </c>
      <c r="L44" s="5">
        <f t="shared" si="10"/>
        <v>162859.91000000015</v>
      </c>
      <c r="M44" s="5">
        <f t="shared" si="10"/>
        <v>18358.83000000016</v>
      </c>
      <c r="N44" s="5">
        <f t="shared" si="10"/>
        <v>2322.450000000157</v>
      </c>
      <c r="O44" s="5">
        <f t="shared" si="10"/>
        <v>9236.070000000153</v>
      </c>
      <c r="P44" s="7">
        <f>O44</f>
        <v>9236.070000000153</v>
      </c>
    </row>
    <row r="45" spans="1:16" ht="12.75">
      <c r="A45" s="184" t="s">
        <v>55</v>
      </c>
      <c r="B45" s="184"/>
      <c r="C45" s="184"/>
      <c r="D45" s="5">
        <f aca="true" t="shared" si="11" ref="D45:O45">D46*22950</f>
        <v>160650</v>
      </c>
      <c r="E45" s="5">
        <f t="shared" si="11"/>
        <v>413100</v>
      </c>
      <c r="F45" s="5">
        <f t="shared" si="11"/>
        <v>550800</v>
      </c>
      <c r="G45" s="5">
        <f t="shared" si="11"/>
        <v>688500</v>
      </c>
      <c r="H45" s="5">
        <f t="shared" si="11"/>
        <v>688500</v>
      </c>
      <c r="I45" s="5">
        <f t="shared" si="11"/>
        <v>688500</v>
      </c>
      <c r="J45" s="5">
        <f t="shared" si="11"/>
        <v>527850</v>
      </c>
      <c r="K45" s="5">
        <f t="shared" si="11"/>
        <v>527850</v>
      </c>
      <c r="L45" s="5">
        <f t="shared" si="11"/>
        <v>0</v>
      </c>
      <c r="M45" s="5">
        <f t="shared" si="11"/>
        <v>68850</v>
      </c>
      <c r="N45" s="5">
        <f t="shared" si="11"/>
        <v>91800</v>
      </c>
      <c r="O45" s="5">
        <f t="shared" si="11"/>
        <v>252450</v>
      </c>
      <c r="P45" s="7">
        <f>D45+E45+F45+G45+H45+I45+J45+K45+L45+M45+N45+O45</f>
        <v>4658850</v>
      </c>
    </row>
    <row r="46" spans="1:16" ht="12.75">
      <c r="A46" s="184" t="s">
        <v>56</v>
      </c>
      <c r="B46" s="184"/>
      <c r="C46" s="184"/>
      <c r="D46" s="10">
        <v>7</v>
      </c>
      <c r="E46" s="10">
        <v>18</v>
      </c>
      <c r="F46" s="10">
        <v>24</v>
      </c>
      <c r="G46" s="10">
        <v>30</v>
      </c>
      <c r="H46" s="10">
        <v>30</v>
      </c>
      <c r="I46" s="10">
        <v>30</v>
      </c>
      <c r="J46" s="10">
        <v>23</v>
      </c>
      <c r="K46" s="10">
        <v>23</v>
      </c>
      <c r="L46" s="10">
        <v>0</v>
      </c>
      <c r="M46" s="10">
        <v>3</v>
      </c>
      <c r="N46" s="10">
        <v>4</v>
      </c>
      <c r="O46" s="10">
        <v>11</v>
      </c>
      <c r="P46" s="11">
        <f>D46+E46+F46+G46+H46+I46+J46+K46+L46+M46+N46+O46</f>
        <v>203</v>
      </c>
    </row>
    <row r="47" spans="1:16" ht="12.75">
      <c r="A47" s="189" t="s">
        <v>57</v>
      </c>
      <c r="B47" s="189"/>
      <c r="C47" s="189"/>
      <c r="D47" s="5">
        <f aca="true" t="shared" si="12" ref="D47:O47">D39</f>
        <v>177507.38</v>
      </c>
      <c r="E47" s="5">
        <f t="shared" si="12"/>
        <v>409118.93</v>
      </c>
      <c r="F47" s="5">
        <f t="shared" si="12"/>
        <v>584413.43</v>
      </c>
      <c r="G47" s="5">
        <f t="shared" si="12"/>
        <v>732065.13</v>
      </c>
      <c r="H47" s="5">
        <f t="shared" si="12"/>
        <v>768836.23</v>
      </c>
      <c r="I47" s="5">
        <f t="shared" si="12"/>
        <v>652385.82</v>
      </c>
      <c r="J47" s="5">
        <f t="shared" si="12"/>
        <v>557802.09</v>
      </c>
      <c r="K47" s="5">
        <f t="shared" si="12"/>
        <v>381734</v>
      </c>
      <c r="L47" s="5">
        <f t="shared" si="12"/>
        <v>144501.08</v>
      </c>
      <c r="M47" s="5">
        <f t="shared" si="12"/>
        <v>84886.38</v>
      </c>
      <c r="N47" s="5">
        <f t="shared" si="12"/>
        <v>84886.38</v>
      </c>
      <c r="O47" s="5">
        <f t="shared" si="12"/>
        <v>84886.38</v>
      </c>
      <c r="P47" s="7">
        <f>D47+E47+F47+G47+H47+I47+J47+K47+L47+M47+N47+O47</f>
        <v>4663023.2299999995</v>
      </c>
    </row>
    <row r="48" spans="1:16" ht="12.75">
      <c r="A48" s="184" t="s">
        <v>53</v>
      </c>
      <c r="B48" s="184"/>
      <c r="C48" s="184"/>
      <c r="D48" s="5">
        <f aca="true" t="shared" si="13" ref="D48:O48">D44+D45-D47</f>
        <v>164115.54000000015</v>
      </c>
      <c r="E48" s="5">
        <f t="shared" si="13"/>
        <v>168096.61000000016</v>
      </c>
      <c r="F48" s="5">
        <f t="shared" si="13"/>
        <v>134483.18000000005</v>
      </c>
      <c r="G48" s="5">
        <f t="shared" si="13"/>
        <v>90918.05000000005</v>
      </c>
      <c r="H48" s="5">
        <f t="shared" si="13"/>
        <v>10581.820000000065</v>
      </c>
      <c r="I48" s="5">
        <f t="shared" si="13"/>
        <v>46696.00000000012</v>
      </c>
      <c r="J48" s="5">
        <f t="shared" si="13"/>
        <v>16743.91000000015</v>
      </c>
      <c r="K48" s="5">
        <f t="shared" si="13"/>
        <v>162859.91000000015</v>
      </c>
      <c r="L48" s="5">
        <f t="shared" si="13"/>
        <v>18358.83000000016</v>
      </c>
      <c r="M48" s="5">
        <f t="shared" si="13"/>
        <v>2322.450000000157</v>
      </c>
      <c r="N48" s="5">
        <f t="shared" si="13"/>
        <v>9236.070000000153</v>
      </c>
      <c r="O48" s="5">
        <f t="shared" si="13"/>
        <v>176799.69000000015</v>
      </c>
      <c r="P48" s="7">
        <f>O48-D44</f>
        <v>-4173.2300000000105</v>
      </c>
    </row>
    <row r="49" spans="1:16" ht="18">
      <c r="A49" s="179" t="s">
        <v>62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</row>
    <row r="50" spans="1:16" ht="12.75">
      <c r="A50" s="176"/>
      <c r="B50" s="176"/>
      <c r="C50" s="176"/>
      <c r="D50" s="176" t="s">
        <v>26</v>
      </c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8" t="s">
        <v>58</v>
      </c>
    </row>
    <row r="51" spans="1:16" ht="12.75">
      <c r="A51" s="176"/>
      <c r="B51" s="176"/>
      <c r="C51" s="176"/>
      <c r="D51" s="6">
        <v>46266</v>
      </c>
      <c r="E51" s="6">
        <v>46296</v>
      </c>
      <c r="F51" s="6">
        <v>46327</v>
      </c>
      <c r="G51" s="6">
        <v>46357</v>
      </c>
      <c r="H51" s="6">
        <v>46388</v>
      </c>
      <c r="I51" s="6">
        <v>46419</v>
      </c>
      <c r="J51" s="6">
        <v>46447</v>
      </c>
      <c r="K51" s="6">
        <v>46478</v>
      </c>
      <c r="L51" s="6">
        <v>46508</v>
      </c>
      <c r="M51" s="6">
        <v>46539</v>
      </c>
      <c r="N51" s="6">
        <v>46569</v>
      </c>
      <c r="O51" s="6">
        <v>46600</v>
      </c>
      <c r="P51" s="178"/>
    </row>
    <row r="52" spans="1:16" ht="12.75">
      <c r="A52" s="184" t="s">
        <v>54</v>
      </c>
      <c r="B52" s="184"/>
      <c r="C52" s="184"/>
      <c r="D52" s="5">
        <f>O48</f>
        <v>176799.69000000015</v>
      </c>
      <c r="E52" s="5">
        <f aca="true" t="shared" si="14" ref="E52:O52">D56</f>
        <v>182892.31000000017</v>
      </c>
      <c r="F52" s="5">
        <f t="shared" si="14"/>
        <v>163923.38000000018</v>
      </c>
      <c r="G52" s="5">
        <f t="shared" si="14"/>
        <v>130309.95000000007</v>
      </c>
      <c r="H52" s="5">
        <f t="shared" si="14"/>
        <v>86744.82000000007</v>
      </c>
      <c r="I52" s="5">
        <f t="shared" si="14"/>
        <v>6408.590000000084</v>
      </c>
      <c r="J52" s="5">
        <f t="shared" si="14"/>
        <v>42522.770000000135</v>
      </c>
      <c r="K52" s="5">
        <f t="shared" si="14"/>
        <v>12570.680000000168</v>
      </c>
      <c r="L52" s="5">
        <f t="shared" si="14"/>
        <v>158686.68000000017</v>
      </c>
      <c r="M52" s="5">
        <f t="shared" si="14"/>
        <v>14185.60000000018</v>
      </c>
      <c r="N52" s="5">
        <f t="shared" si="14"/>
        <v>21099.220000000176</v>
      </c>
      <c r="O52" s="5">
        <f t="shared" si="14"/>
        <v>5062.840000000171</v>
      </c>
      <c r="P52" s="7">
        <f>O52</f>
        <v>5062.840000000171</v>
      </c>
    </row>
    <row r="53" spans="1:16" ht="12.75">
      <c r="A53" s="184" t="s">
        <v>55</v>
      </c>
      <c r="B53" s="184"/>
      <c r="C53" s="184"/>
      <c r="D53" s="5">
        <f aca="true" t="shared" si="15" ref="D53:O53">D54*22950</f>
        <v>183600</v>
      </c>
      <c r="E53" s="5">
        <f t="shared" si="15"/>
        <v>390150</v>
      </c>
      <c r="F53" s="5">
        <f t="shared" si="15"/>
        <v>550800</v>
      </c>
      <c r="G53" s="5">
        <f t="shared" si="15"/>
        <v>688500</v>
      </c>
      <c r="H53" s="5">
        <f t="shared" si="15"/>
        <v>688500</v>
      </c>
      <c r="I53" s="5">
        <f t="shared" si="15"/>
        <v>688500</v>
      </c>
      <c r="J53" s="5">
        <f t="shared" si="15"/>
        <v>527850</v>
      </c>
      <c r="K53" s="5">
        <f t="shared" si="15"/>
        <v>527850</v>
      </c>
      <c r="L53" s="5">
        <f t="shared" si="15"/>
        <v>0</v>
      </c>
      <c r="M53" s="5">
        <f t="shared" si="15"/>
        <v>91800</v>
      </c>
      <c r="N53" s="5">
        <f t="shared" si="15"/>
        <v>68850</v>
      </c>
      <c r="O53" s="5">
        <f t="shared" si="15"/>
        <v>252450</v>
      </c>
      <c r="P53" s="7">
        <f>D53+E53+F53+G53+H53+I53+J53+K53+L53+M53+N53+O53</f>
        <v>4658850</v>
      </c>
    </row>
    <row r="54" spans="1:16" ht="12.75">
      <c r="A54" s="184" t="s">
        <v>56</v>
      </c>
      <c r="B54" s="184"/>
      <c r="C54" s="184"/>
      <c r="D54" s="10">
        <v>8</v>
      </c>
      <c r="E54" s="10">
        <v>17</v>
      </c>
      <c r="F54" s="10">
        <v>24</v>
      </c>
      <c r="G54" s="10">
        <v>30</v>
      </c>
      <c r="H54" s="10">
        <v>30</v>
      </c>
      <c r="I54" s="10">
        <v>30</v>
      </c>
      <c r="J54" s="10">
        <v>23</v>
      </c>
      <c r="K54" s="10">
        <v>23</v>
      </c>
      <c r="L54" s="10">
        <v>0</v>
      </c>
      <c r="M54" s="10">
        <v>4</v>
      </c>
      <c r="N54" s="10">
        <v>3</v>
      </c>
      <c r="O54" s="10">
        <v>11</v>
      </c>
      <c r="P54" s="11">
        <f>D54+E54+F54+G54+H54+I54+J54+K54+L54+M54+N54+O54</f>
        <v>203</v>
      </c>
    </row>
    <row r="55" spans="1:16" ht="12.75">
      <c r="A55" s="189" t="s">
        <v>57</v>
      </c>
      <c r="B55" s="189"/>
      <c r="C55" s="189"/>
      <c r="D55" s="5">
        <f aca="true" t="shared" si="16" ref="D55:O55">D47</f>
        <v>177507.38</v>
      </c>
      <c r="E55" s="5">
        <f t="shared" si="16"/>
        <v>409118.93</v>
      </c>
      <c r="F55" s="5">
        <f t="shared" si="16"/>
        <v>584413.43</v>
      </c>
      <c r="G55" s="5">
        <f t="shared" si="16"/>
        <v>732065.13</v>
      </c>
      <c r="H55" s="5">
        <f t="shared" si="16"/>
        <v>768836.23</v>
      </c>
      <c r="I55" s="5">
        <f t="shared" si="16"/>
        <v>652385.82</v>
      </c>
      <c r="J55" s="5">
        <f t="shared" si="16"/>
        <v>557802.09</v>
      </c>
      <c r="K55" s="5">
        <f t="shared" si="16"/>
        <v>381734</v>
      </c>
      <c r="L55" s="5">
        <f t="shared" si="16"/>
        <v>144501.08</v>
      </c>
      <c r="M55" s="5">
        <f t="shared" si="16"/>
        <v>84886.38</v>
      </c>
      <c r="N55" s="5">
        <f t="shared" si="16"/>
        <v>84886.38</v>
      </c>
      <c r="O55" s="5">
        <f t="shared" si="16"/>
        <v>84886.38</v>
      </c>
      <c r="P55" s="7">
        <f>D55+E55+F55+G55+H55+I55+J55+K55+L55+M55+N55+O55</f>
        <v>4663023.2299999995</v>
      </c>
    </row>
    <row r="56" spans="1:16" ht="12.75">
      <c r="A56" s="184" t="s">
        <v>53</v>
      </c>
      <c r="B56" s="184"/>
      <c r="C56" s="184"/>
      <c r="D56" s="5">
        <f aca="true" t="shared" si="17" ref="D56:O56">D52+D53-D55</f>
        <v>182892.31000000017</v>
      </c>
      <c r="E56" s="5">
        <f t="shared" si="17"/>
        <v>163923.38000000018</v>
      </c>
      <c r="F56" s="5">
        <f t="shared" si="17"/>
        <v>130309.95000000007</v>
      </c>
      <c r="G56" s="5">
        <f t="shared" si="17"/>
        <v>86744.82000000007</v>
      </c>
      <c r="H56" s="5">
        <f t="shared" si="17"/>
        <v>6408.590000000084</v>
      </c>
      <c r="I56" s="5">
        <f t="shared" si="17"/>
        <v>42522.770000000135</v>
      </c>
      <c r="J56" s="5">
        <f t="shared" si="17"/>
        <v>12570.680000000168</v>
      </c>
      <c r="K56" s="5">
        <f t="shared" si="17"/>
        <v>158686.68000000017</v>
      </c>
      <c r="L56" s="5">
        <f t="shared" si="17"/>
        <v>14185.60000000018</v>
      </c>
      <c r="M56" s="5">
        <f t="shared" si="17"/>
        <v>21099.220000000176</v>
      </c>
      <c r="N56" s="5">
        <f t="shared" si="17"/>
        <v>5062.840000000171</v>
      </c>
      <c r="O56" s="5">
        <f t="shared" si="17"/>
        <v>172626.46000000017</v>
      </c>
      <c r="P56" s="7">
        <f>O56-D52</f>
        <v>-4173.229999999981</v>
      </c>
    </row>
    <row r="57" spans="1:16" ht="18">
      <c r="A57" s="179" t="s">
        <v>63</v>
      </c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</row>
    <row r="58" spans="1:16" ht="12.75">
      <c r="A58" s="176"/>
      <c r="B58" s="176"/>
      <c r="C58" s="176"/>
      <c r="D58" s="176" t="s">
        <v>26</v>
      </c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8" t="s">
        <v>58</v>
      </c>
    </row>
    <row r="59" spans="1:16" ht="12.75">
      <c r="A59" s="176"/>
      <c r="B59" s="176"/>
      <c r="C59" s="176"/>
      <c r="D59" s="6">
        <v>46631</v>
      </c>
      <c r="E59" s="6">
        <v>46661</v>
      </c>
      <c r="F59" s="6">
        <v>46692</v>
      </c>
      <c r="G59" s="6">
        <v>46722</v>
      </c>
      <c r="H59" s="6">
        <v>46753</v>
      </c>
      <c r="I59" s="6">
        <v>46784</v>
      </c>
      <c r="J59" s="6">
        <v>46813</v>
      </c>
      <c r="K59" s="6">
        <v>46844</v>
      </c>
      <c r="L59" s="6">
        <v>46874</v>
      </c>
      <c r="M59" s="6">
        <v>46905</v>
      </c>
      <c r="N59" s="6">
        <v>46935</v>
      </c>
      <c r="O59" s="6">
        <v>46966</v>
      </c>
      <c r="P59" s="178"/>
    </row>
    <row r="60" spans="1:16" ht="12.75">
      <c r="A60" s="184" t="s">
        <v>54</v>
      </c>
      <c r="B60" s="184"/>
      <c r="C60" s="184"/>
      <c r="D60" s="5">
        <f>O56</f>
        <v>172626.46000000017</v>
      </c>
      <c r="E60" s="5">
        <f aca="true" t="shared" si="18" ref="E60:O60">D64</f>
        <v>178719.0800000002</v>
      </c>
      <c r="F60" s="5">
        <f t="shared" si="18"/>
        <v>182700.1500000002</v>
      </c>
      <c r="G60" s="5">
        <f t="shared" si="18"/>
        <v>126136.72000000009</v>
      </c>
      <c r="H60" s="5">
        <f t="shared" si="18"/>
        <v>82571.59000000008</v>
      </c>
      <c r="I60" s="5">
        <f t="shared" si="18"/>
        <v>2235.3600000001024</v>
      </c>
      <c r="J60" s="5">
        <f t="shared" si="18"/>
        <v>38349.540000000154</v>
      </c>
      <c r="K60" s="5">
        <f t="shared" si="18"/>
        <v>8397.450000000186</v>
      </c>
      <c r="L60" s="5">
        <f t="shared" si="18"/>
        <v>154513.4500000002</v>
      </c>
      <c r="M60" s="5">
        <f t="shared" si="18"/>
        <v>10012.370000000199</v>
      </c>
      <c r="N60" s="5">
        <f t="shared" si="18"/>
        <v>16925.990000000194</v>
      </c>
      <c r="O60" s="5">
        <f t="shared" si="18"/>
        <v>889.6100000001898</v>
      </c>
      <c r="P60" s="7">
        <f>O60</f>
        <v>889.6100000001898</v>
      </c>
    </row>
    <row r="61" spans="1:16" ht="12.75">
      <c r="A61" s="184" t="s">
        <v>55</v>
      </c>
      <c r="B61" s="184"/>
      <c r="C61" s="184"/>
      <c r="D61" s="5">
        <f aca="true" t="shared" si="19" ref="D61:O61">D62*22950</f>
        <v>183600</v>
      </c>
      <c r="E61" s="5">
        <f t="shared" si="19"/>
        <v>413100</v>
      </c>
      <c r="F61" s="5">
        <f t="shared" si="19"/>
        <v>527850</v>
      </c>
      <c r="G61" s="5">
        <f t="shared" si="19"/>
        <v>688500</v>
      </c>
      <c r="H61" s="5">
        <f t="shared" si="19"/>
        <v>688500</v>
      </c>
      <c r="I61" s="5">
        <f t="shared" si="19"/>
        <v>688500</v>
      </c>
      <c r="J61" s="5">
        <f t="shared" si="19"/>
        <v>527850</v>
      </c>
      <c r="K61" s="5">
        <f t="shared" si="19"/>
        <v>527850</v>
      </c>
      <c r="L61" s="5">
        <f t="shared" si="19"/>
        <v>0</v>
      </c>
      <c r="M61" s="5">
        <f t="shared" si="19"/>
        <v>91800</v>
      </c>
      <c r="N61" s="5">
        <f t="shared" si="19"/>
        <v>68850</v>
      </c>
      <c r="O61" s="5">
        <f t="shared" si="19"/>
        <v>252450</v>
      </c>
      <c r="P61" s="7">
        <f>D61+E61+F61+G61+H61+I61+J61+K61+L61+M61+N61+O61</f>
        <v>4658850</v>
      </c>
    </row>
    <row r="62" spans="1:16" ht="12.75">
      <c r="A62" s="184" t="s">
        <v>56</v>
      </c>
      <c r="B62" s="184"/>
      <c r="C62" s="184"/>
      <c r="D62" s="10">
        <v>8</v>
      </c>
      <c r="E62" s="10">
        <v>18</v>
      </c>
      <c r="F62" s="10">
        <v>23</v>
      </c>
      <c r="G62" s="10">
        <v>30</v>
      </c>
      <c r="H62" s="10">
        <v>30</v>
      </c>
      <c r="I62" s="10">
        <v>30</v>
      </c>
      <c r="J62" s="10">
        <v>23</v>
      </c>
      <c r="K62" s="10">
        <v>23</v>
      </c>
      <c r="L62" s="10">
        <v>0</v>
      </c>
      <c r="M62" s="10">
        <v>4</v>
      </c>
      <c r="N62" s="10">
        <v>3</v>
      </c>
      <c r="O62" s="10">
        <v>11</v>
      </c>
      <c r="P62" s="11">
        <f>D62+E62+F62+G62+H62+I62+J62+K62+L62+M62+N62+O62</f>
        <v>203</v>
      </c>
    </row>
    <row r="63" spans="1:16" ht="12.75">
      <c r="A63" s="189" t="s">
        <v>57</v>
      </c>
      <c r="B63" s="189"/>
      <c r="C63" s="189"/>
      <c r="D63" s="5">
        <f aca="true" t="shared" si="20" ref="D63:O63">D55</f>
        <v>177507.38</v>
      </c>
      <c r="E63" s="5">
        <f t="shared" si="20"/>
        <v>409118.93</v>
      </c>
      <c r="F63" s="5">
        <f t="shared" si="20"/>
        <v>584413.43</v>
      </c>
      <c r="G63" s="5">
        <f t="shared" si="20"/>
        <v>732065.13</v>
      </c>
      <c r="H63" s="5">
        <f t="shared" si="20"/>
        <v>768836.23</v>
      </c>
      <c r="I63" s="5">
        <f t="shared" si="20"/>
        <v>652385.82</v>
      </c>
      <c r="J63" s="5">
        <f t="shared" si="20"/>
        <v>557802.09</v>
      </c>
      <c r="K63" s="5">
        <f t="shared" si="20"/>
        <v>381734</v>
      </c>
      <c r="L63" s="5">
        <f t="shared" si="20"/>
        <v>144501.08</v>
      </c>
      <c r="M63" s="5">
        <f t="shared" si="20"/>
        <v>84886.38</v>
      </c>
      <c r="N63" s="5">
        <f t="shared" si="20"/>
        <v>84886.38</v>
      </c>
      <c r="O63" s="5">
        <f t="shared" si="20"/>
        <v>84886.38</v>
      </c>
      <c r="P63" s="7">
        <f>D63+E63+F63+G63+H63+I63+J63+K63+L63+M63+N63+O63</f>
        <v>4663023.2299999995</v>
      </c>
    </row>
    <row r="64" spans="1:16" ht="12.75">
      <c r="A64" s="184" t="s">
        <v>53</v>
      </c>
      <c r="B64" s="184"/>
      <c r="C64" s="184"/>
      <c r="D64" s="5">
        <f aca="true" t="shared" si="21" ref="D64:O64">D60+D61-D63</f>
        <v>178719.0800000002</v>
      </c>
      <c r="E64" s="5">
        <f t="shared" si="21"/>
        <v>182700.1500000002</v>
      </c>
      <c r="F64" s="5">
        <f t="shared" si="21"/>
        <v>126136.72000000009</v>
      </c>
      <c r="G64" s="5">
        <f t="shared" si="21"/>
        <v>82571.59000000008</v>
      </c>
      <c r="H64" s="5">
        <f t="shared" si="21"/>
        <v>2235.3600000001024</v>
      </c>
      <c r="I64" s="5">
        <f t="shared" si="21"/>
        <v>38349.540000000154</v>
      </c>
      <c r="J64" s="5">
        <f t="shared" si="21"/>
        <v>8397.450000000186</v>
      </c>
      <c r="K64" s="5">
        <f t="shared" si="21"/>
        <v>154513.4500000002</v>
      </c>
      <c r="L64" s="5">
        <f t="shared" si="21"/>
        <v>10012.370000000199</v>
      </c>
      <c r="M64" s="5">
        <f t="shared" si="21"/>
        <v>16925.990000000194</v>
      </c>
      <c r="N64" s="5">
        <f t="shared" si="21"/>
        <v>889.6100000001898</v>
      </c>
      <c r="O64" s="5">
        <f t="shared" si="21"/>
        <v>168453.23000000019</v>
      </c>
      <c r="P64" s="7">
        <f>O64-D60</f>
        <v>-4173.229999999981</v>
      </c>
    </row>
    <row r="65" spans="1:16" ht="18">
      <c r="A65" s="179" t="s">
        <v>64</v>
      </c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</row>
    <row r="66" spans="1:16" ht="12.75">
      <c r="A66" s="176"/>
      <c r="B66" s="176"/>
      <c r="C66" s="176"/>
      <c r="D66" s="176" t="s">
        <v>26</v>
      </c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8" t="s">
        <v>58</v>
      </c>
    </row>
    <row r="67" spans="1:16" ht="12.75">
      <c r="A67" s="176"/>
      <c r="B67" s="176"/>
      <c r="C67" s="176"/>
      <c r="D67" s="6">
        <v>46997</v>
      </c>
      <c r="E67" s="6">
        <v>47027</v>
      </c>
      <c r="F67" s="6">
        <v>47058</v>
      </c>
      <c r="G67" s="6">
        <v>47088</v>
      </c>
      <c r="H67" s="6">
        <v>47119</v>
      </c>
      <c r="I67" s="6">
        <v>47150</v>
      </c>
      <c r="J67" s="6">
        <v>47178</v>
      </c>
      <c r="K67" s="6">
        <v>47209</v>
      </c>
      <c r="L67" s="6">
        <v>47239</v>
      </c>
      <c r="M67" s="6">
        <v>47270</v>
      </c>
      <c r="N67" s="6">
        <v>47300</v>
      </c>
      <c r="O67" s="6">
        <v>47331</v>
      </c>
      <c r="P67" s="178"/>
    </row>
    <row r="68" spans="1:16" ht="12.75">
      <c r="A68" s="184" t="s">
        <v>54</v>
      </c>
      <c r="B68" s="184"/>
      <c r="C68" s="184"/>
      <c r="D68" s="5">
        <f>O64</f>
        <v>168453.23000000019</v>
      </c>
      <c r="E68" s="5">
        <f aca="true" t="shared" si="22" ref="E68:O68">D72</f>
        <v>174545.8500000002</v>
      </c>
      <c r="F68" s="5">
        <f t="shared" si="22"/>
        <v>178526.92000000022</v>
      </c>
      <c r="G68" s="5">
        <f t="shared" si="22"/>
        <v>144913.4900000001</v>
      </c>
      <c r="H68" s="5">
        <f t="shared" si="22"/>
        <v>101348.3600000001</v>
      </c>
      <c r="I68" s="5">
        <f t="shared" si="22"/>
        <v>21012.13000000012</v>
      </c>
      <c r="J68" s="5">
        <f t="shared" si="22"/>
        <v>57126.31000000017</v>
      </c>
      <c r="K68" s="5">
        <f t="shared" si="22"/>
        <v>4224.220000000205</v>
      </c>
      <c r="L68" s="5">
        <f t="shared" si="22"/>
        <v>150340.2200000002</v>
      </c>
      <c r="M68" s="5">
        <f t="shared" si="22"/>
        <v>5839.140000000218</v>
      </c>
      <c r="N68" s="5">
        <f t="shared" si="22"/>
        <v>12752.760000000213</v>
      </c>
      <c r="O68" s="5">
        <f t="shared" si="22"/>
        <v>19666.38000000021</v>
      </c>
      <c r="P68" s="7">
        <f>O68</f>
        <v>19666.38000000021</v>
      </c>
    </row>
    <row r="69" spans="1:16" ht="12.75">
      <c r="A69" s="184" t="s">
        <v>55</v>
      </c>
      <c r="B69" s="184"/>
      <c r="C69" s="184"/>
      <c r="D69" s="5">
        <f aca="true" t="shared" si="23" ref="D69:O69">D70*22950</f>
        <v>183600</v>
      </c>
      <c r="E69" s="5">
        <f t="shared" si="23"/>
        <v>413100</v>
      </c>
      <c r="F69" s="5">
        <f t="shared" si="23"/>
        <v>550800</v>
      </c>
      <c r="G69" s="5">
        <f t="shared" si="23"/>
        <v>688500</v>
      </c>
      <c r="H69" s="5">
        <f t="shared" si="23"/>
        <v>688500</v>
      </c>
      <c r="I69" s="5">
        <f t="shared" si="23"/>
        <v>688500</v>
      </c>
      <c r="J69" s="5">
        <f t="shared" si="23"/>
        <v>504900</v>
      </c>
      <c r="K69" s="5">
        <f t="shared" si="23"/>
        <v>527850</v>
      </c>
      <c r="L69" s="5">
        <f t="shared" si="23"/>
        <v>0</v>
      </c>
      <c r="M69" s="5">
        <f t="shared" si="23"/>
        <v>91800</v>
      </c>
      <c r="N69" s="5">
        <f t="shared" si="23"/>
        <v>91800</v>
      </c>
      <c r="O69" s="5">
        <f t="shared" si="23"/>
        <v>229500</v>
      </c>
      <c r="P69" s="7">
        <f>D69+E69+F69+G69+H69+I69+J69+K69+L69+M69+N69+O69</f>
        <v>4658850</v>
      </c>
    </row>
    <row r="70" spans="1:16" ht="12.75">
      <c r="A70" s="184" t="s">
        <v>56</v>
      </c>
      <c r="B70" s="184"/>
      <c r="C70" s="184"/>
      <c r="D70" s="10">
        <v>8</v>
      </c>
      <c r="E70" s="10">
        <v>18</v>
      </c>
      <c r="F70" s="10">
        <v>24</v>
      </c>
      <c r="G70" s="10">
        <v>30</v>
      </c>
      <c r="H70" s="10">
        <v>30</v>
      </c>
      <c r="I70" s="10">
        <v>30</v>
      </c>
      <c r="J70" s="10">
        <v>22</v>
      </c>
      <c r="K70" s="10">
        <v>23</v>
      </c>
      <c r="L70" s="10">
        <v>0</v>
      </c>
      <c r="M70" s="10">
        <v>4</v>
      </c>
      <c r="N70" s="10">
        <v>4</v>
      </c>
      <c r="O70" s="10">
        <v>10</v>
      </c>
      <c r="P70" s="11">
        <f>D70+E70+F70+G70+H70+I70+J70+K70+L70+M70+N70+O70</f>
        <v>203</v>
      </c>
    </row>
    <row r="71" spans="1:16" ht="12.75">
      <c r="A71" s="189" t="s">
        <v>57</v>
      </c>
      <c r="B71" s="189"/>
      <c r="C71" s="189"/>
      <c r="D71" s="5">
        <f aca="true" t="shared" si="24" ref="D71:O71">D63</f>
        <v>177507.38</v>
      </c>
      <c r="E71" s="5">
        <f t="shared" si="24"/>
        <v>409118.93</v>
      </c>
      <c r="F71" s="5">
        <f t="shared" si="24"/>
        <v>584413.43</v>
      </c>
      <c r="G71" s="5">
        <f t="shared" si="24"/>
        <v>732065.13</v>
      </c>
      <c r="H71" s="5">
        <f t="shared" si="24"/>
        <v>768836.23</v>
      </c>
      <c r="I71" s="5">
        <f t="shared" si="24"/>
        <v>652385.82</v>
      </c>
      <c r="J71" s="5">
        <f t="shared" si="24"/>
        <v>557802.09</v>
      </c>
      <c r="K71" s="5">
        <f t="shared" si="24"/>
        <v>381734</v>
      </c>
      <c r="L71" s="5">
        <f t="shared" si="24"/>
        <v>144501.08</v>
      </c>
      <c r="M71" s="5">
        <f t="shared" si="24"/>
        <v>84886.38</v>
      </c>
      <c r="N71" s="5">
        <f t="shared" si="24"/>
        <v>84886.38</v>
      </c>
      <c r="O71" s="5">
        <f t="shared" si="24"/>
        <v>84886.38</v>
      </c>
      <c r="P71" s="7">
        <f>D71+E71+F71+G71+H71+I71+J71+K71+L71+M71+N71+O71</f>
        <v>4663023.2299999995</v>
      </c>
    </row>
    <row r="72" spans="1:16" ht="12.75">
      <c r="A72" s="184" t="s">
        <v>53</v>
      </c>
      <c r="B72" s="184"/>
      <c r="C72" s="184"/>
      <c r="D72" s="5">
        <f aca="true" t="shared" si="25" ref="D72:O72">D68+D69-D71</f>
        <v>174545.8500000002</v>
      </c>
      <c r="E72" s="5">
        <f t="shared" si="25"/>
        <v>178526.92000000022</v>
      </c>
      <c r="F72" s="5">
        <f t="shared" si="25"/>
        <v>144913.4900000001</v>
      </c>
      <c r="G72" s="5">
        <f t="shared" si="25"/>
        <v>101348.3600000001</v>
      </c>
      <c r="H72" s="5">
        <f t="shared" si="25"/>
        <v>21012.13000000012</v>
      </c>
      <c r="I72" s="5">
        <f t="shared" si="25"/>
        <v>57126.31000000017</v>
      </c>
      <c r="J72" s="5">
        <f t="shared" si="25"/>
        <v>4224.220000000205</v>
      </c>
      <c r="K72" s="5">
        <f t="shared" si="25"/>
        <v>150340.2200000002</v>
      </c>
      <c r="L72" s="5">
        <f t="shared" si="25"/>
        <v>5839.140000000218</v>
      </c>
      <c r="M72" s="5">
        <f t="shared" si="25"/>
        <v>12752.760000000213</v>
      </c>
      <c r="N72" s="5">
        <f t="shared" si="25"/>
        <v>19666.38000000021</v>
      </c>
      <c r="O72" s="5">
        <f t="shared" si="25"/>
        <v>164280.0000000002</v>
      </c>
      <c r="P72" s="7">
        <f>O72-D68</f>
        <v>-4173.229999999981</v>
      </c>
    </row>
    <row r="73" spans="1:16" ht="18">
      <c r="A73" s="179" t="s">
        <v>65</v>
      </c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</row>
    <row r="74" spans="1:16" ht="12.75">
      <c r="A74" s="176"/>
      <c r="B74" s="176"/>
      <c r="C74" s="176"/>
      <c r="D74" s="176" t="s">
        <v>26</v>
      </c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8" t="s">
        <v>58</v>
      </c>
    </row>
    <row r="75" spans="1:16" ht="12.75">
      <c r="A75" s="176"/>
      <c r="B75" s="176"/>
      <c r="C75" s="176"/>
      <c r="D75" s="6">
        <v>47362</v>
      </c>
      <c r="E75" s="6">
        <v>47392</v>
      </c>
      <c r="F75" s="6">
        <v>47423</v>
      </c>
      <c r="G75" s="6">
        <v>47453</v>
      </c>
      <c r="H75" s="6">
        <v>47484</v>
      </c>
      <c r="I75" s="6">
        <v>47515</v>
      </c>
      <c r="J75" s="6">
        <v>47543</v>
      </c>
      <c r="K75" s="6">
        <v>47574</v>
      </c>
      <c r="L75" s="6">
        <v>47604</v>
      </c>
      <c r="M75" s="6">
        <v>47635</v>
      </c>
      <c r="N75" s="6">
        <v>47665</v>
      </c>
      <c r="O75" s="6">
        <v>47696</v>
      </c>
      <c r="P75" s="178"/>
    </row>
    <row r="76" spans="1:16" ht="12.75">
      <c r="A76" s="184" t="s">
        <v>54</v>
      </c>
      <c r="B76" s="184"/>
      <c r="C76" s="184"/>
      <c r="D76" s="5">
        <f>O72</f>
        <v>164280.0000000002</v>
      </c>
      <c r="E76" s="5">
        <f aca="true" t="shared" si="26" ref="E76:O76">D80</f>
        <v>170372.62000000023</v>
      </c>
      <c r="F76" s="5">
        <f t="shared" si="26"/>
        <v>174353.69000000024</v>
      </c>
      <c r="G76" s="5">
        <f t="shared" si="26"/>
        <v>140740.26000000013</v>
      </c>
      <c r="H76" s="5">
        <f t="shared" si="26"/>
        <v>97175.13000000012</v>
      </c>
      <c r="I76" s="5">
        <f t="shared" si="26"/>
        <v>16838.90000000014</v>
      </c>
      <c r="J76" s="5">
        <f t="shared" si="26"/>
        <v>52953.08000000019</v>
      </c>
      <c r="K76" s="5">
        <f t="shared" si="26"/>
        <v>50.99000000022352</v>
      </c>
      <c r="L76" s="5">
        <f t="shared" si="26"/>
        <v>146166.99000000022</v>
      </c>
      <c r="M76" s="5">
        <f t="shared" si="26"/>
        <v>1665.9100000002363</v>
      </c>
      <c r="N76" s="5">
        <f t="shared" si="26"/>
        <v>8579.530000000232</v>
      </c>
      <c r="O76" s="5">
        <f t="shared" si="26"/>
        <v>15493.150000000227</v>
      </c>
      <c r="P76" s="7">
        <f>O76</f>
        <v>15493.150000000227</v>
      </c>
    </row>
    <row r="77" spans="1:16" ht="12.75">
      <c r="A77" s="184" t="s">
        <v>55</v>
      </c>
      <c r="B77" s="184"/>
      <c r="C77" s="184"/>
      <c r="D77" s="5">
        <f aca="true" t="shared" si="27" ref="D77:O77">D78*22950</f>
        <v>183600</v>
      </c>
      <c r="E77" s="5">
        <f t="shared" si="27"/>
        <v>413100</v>
      </c>
      <c r="F77" s="5">
        <f t="shared" si="27"/>
        <v>550800</v>
      </c>
      <c r="G77" s="5">
        <f t="shared" si="27"/>
        <v>688500</v>
      </c>
      <c r="H77" s="5">
        <f t="shared" si="27"/>
        <v>688500</v>
      </c>
      <c r="I77" s="5">
        <f t="shared" si="27"/>
        <v>688500</v>
      </c>
      <c r="J77" s="5">
        <f t="shared" si="27"/>
        <v>504900</v>
      </c>
      <c r="K77" s="5">
        <f t="shared" si="27"/>
        <v>527850</v>
      </c>
      <c r="L77" s="5">
        <f t="shared" si="27"/>
        <v>0</v>
      </c>
      <c r="M77" s="5">
        <f t="shared" si="27"/>
        <v>91800</v>
      </c>
      <c r="N77" s="5">
        <f t="shared" si="27"/>
        <v>91800</v>
      </c>
      <c r="O77" s="5">
        <f t="shared" si="27"/>
        <v>252450</v>
      </c>
      <c r="P77" s="7">
        <f>D77+E77+F77+G77+H77+I77+J77+K77+L77+M77+N77+O77</f>
        <v>4681800</v>
      </c>
    </row>
    <row r="78" spans="1:16" ht="12.75">
      <c r="A78" s="184" t="s">
        <v>56</v>
      </c>
      <c r="B78" s="184"/>
      <c r="C78" s="184"/>
      <c r="D78" s="10">
        <v>8</v>
      </c>
      <c r="E78" s="10">
        <v>18</v>
      </c>
      <c r="F78" s="10">
        <v>24</v>
      </c>
      <c r="G78" s="10">
        <v>30</v>
      </c>
      <c r="H78" s="10">
        <v>30</v>
      </c>
      <c r="I78" s="10">
        <v>30</v>
      </c>
      <c r="J78" s="10">
        <v>22</v>
      </c>
      <c r="K78" s="10">
        <v>23</v>
      </c>
      <c r="L78" s="10">
        <v>0</v>
      </c>
      <c r="M78" s="10">
        <v>4</v>
      </c>
      <c r="N78" s="10">
        <v>4</v>
      </c>
      <c r="O78" s="10">
        <v>11</v>
      </c>
      <c r="P78" s="11">
        <f>D78+E78+F78+G78+H78+I78+J78+K78+L78+M78+N78+O78</f>
        <v>204</v>
      </c>
    </row>
    <row r="79" spans="1:16" ht="12.75">
      <c r="A79" s="189" t="s">
        <v>57</v>
      </c>
      <c r="B79" s="189"/>
      <c r="C79" s="189"/>
      <c r="D79" s="5">
        <f aca="true" t="shared" si="28" ref="D79:O79">D71</f>
        <v>177507.38</v>
      </c>
      <c r="E79" s="5">
        <f t="shared" si="28"/>
        <v>409118.93</v>
      </c>
      <c r="F79" s="5">
        <f t="shared" si="28"/>
        <v>584413.43</v>
      </c>
      <c r="G79" s="5">
        <f t="shared" si="28"/>
        <v>732065.13</v>
      </c>
      <c r="H79" s="5">
        <f t="shared" si="28"/>
        <v>768836.23</v>
      </c>
      <c r="I79" s="5">
        <f t="shared" si="28"/>
        <v>652385.82</v>
      </c>
      <c r="J79" s="5">
        <f t="shared" si="28"/>
        <v>557802.09</v>
      </c>
      <c r="K79" s="5">
        <f t="shared" si="28"/>
        <v>381734</v>
      </c>
      <c r="L79" s="5">
        <f t="shared" si="28"/>
        <v>144501.08</v>
      </c>
      <c r="M79" s="5">
        <f t="shared" si="28"/>
        <v>84886.38</v>
      </c>
      <c r="N79" s="5">
        <f t="shared" si="28"/>
        <v>84886.38</v>
      </c>
      <c r="O79" s="5">
        <f t="shared" si="28"/>
        <v>84886.38</v>
      </c>
      <c r="P79" s="7">
        <f>D79+E79+F79+G79+H79+I79+J79+K79+L79+M79+N79+O79</f>
        <v>4663023.2299999995</v>
      </c>
    </row>
    <row r="80" spans="1:16" ht="12.75">
      <c r="A80" s="184" t="s">
        <v>53</v>
      </c>
      <c r="B80" s="184"/>
      <c r="C80" s="184"/>
      <c r="D80" s="5">
        <f aca="true" t="shared" si="29" ref="D80:O80">D76+D77-D79</f>
        <v>170372.62000000023</v>
      </c>
      <c r="E80" s="5">
        <f t="shared" si="29"/>
        <v>174353.69000000024</v>
      </c>
      <c r="F80" s="5">
        <f t="shared" si="29"/>
        <v>140740.26000000013</v>
      </c>
      <c r="G80" s="5">
        <f t="shared" si="29"/>
        <v>97175.13000000012</v>
      </c>
      <c r="H80" s="5">
        <f t="shared" si="29"/>
        <v>16838.90000000014</v>
      </c>
      <c r="I80" s="5">
        <f t="shared" si="29"/>
        <v>52953.08000000019</v>
      </c>
      <c r="J80" s="5">
        <f t="shared" si="29"/>
        <v>50.99000000022352</v>
      </c>
      <c r="K80" s="5">
        <f t="shared" si="29"/>
        <v>146166.99000000022</v>
      </c>
      <c r="L80" s="5">
        <f t="shared" si="29"/>
        <v>1665.9100000002363</v>
      </c>
      <c r="M80" s="5">
        <f t="shared" si="29"/>
        <v>8579.530000000232</v>
      </c>
      <c r="N80" s="5">
        <f t="shared" si="29"/>
        <v>15493.150000000227</v>
      </c>
      <c r="O80" s="5">
        <f t="shared" si="29"/>
        <v>183056.77000000025</v>
      </c>
      <c r="P80" s="7">
        <f>O80-D76</f>
        <v>18776.770000000048</v>
      </c>
    </row>
    <row r="81" spans="1:16" ht="18">
      <c r="A81" s="179" t="s">
        <v>66</v>
      </c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</row>
    <row r="82" spans="1:16" ht="12.75">
      <c r="A82" s="176"/>
      <c r="B82" s="176"/>
      <c r="C82" s="176"/>
      <c r="D82" s="176" t="s">
        <v>26</v>
      </c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8" t="s">
        <v>58</v>
      </c>
    </row>
    <row r="83" spans="1:16" ht="12.75">
      <c r="A83" s="176"/>
      <c r="B83" s="176"/>
      <c r="C83" s="176"/>
      <c r="D83" s="6">
        <v>47727</v>
      </c>
      <c r="E83" s="6">
        <v>47757</v>
      </c>
      <c r="F83" s="6">
        <v>47788</v>
      </c>
      <c r="G83" s="6">
        <v>47818</v>
      </c>
      <c r="H83" s="6">
        <v>47849</v>
      </c>
      <c r="I83" s="6">
        <v>47880</v>
      </c>
      <c r="J83" s="6">
        <v>47908</v>
      </c>
      <c r="K83" s="6">
        <v>47939</v>
      </c>
      <c r="L83" s="6">
        <v>47969</v>
      </c>
      <c r="M83" s="6">
        <v>48000</v>
      </c>
      <c r="N83" s="6">
        <v>48030</v>
      </c>
      <c r="O83" s="6">
        <v>48061</v>
      </c>
      <c r="P83" s="178"/>
    </row>
    <row r="84" spans="1:16" ht="12.75">
      <c r="A84" s="184" t="s">
        <v>54</v>
      </c>
      <c r="B84" s="184"/>
      <c r="C84" s="184"/>
      <c r="D84" s="5">
        <f>O80</f>
        <v>183056.77000000025</v>
      </c>
      <c r="E84" s="5">
        <f aca="true" t="shared" si="30" ref="E84:O84">D88</f>
        <v>166199.39000000025</v>
      </c>
      <c r="F84" s="5">
        <f t="shared" si="30"/>
        <v>170180.46000000025</v>
      </c>
      <c r="G84" s="5">
        <f t="shared" si="30"/>
        <v>136567.03000000014</v>
      </c>
      <c r="H84" s="5">
        <f t="shared" si="30"/>
        <v>93001.90000000014</v>
      </c>
      <c r="I84" s="5">
        <f t="shared" si="30"/>
        <v>12665.670000000158</v>
      </c>
      <c r="J84" s="5">
        <f t="shared" si="30"/>
        <v>48779.85000000021</v>
      </c>
      <c r="K84" s="5">
        <f t="shared" si="30"/>
        <v>18827.760000000242</v>
      </c>
      <c r="L84" s="5">
        <f t="shared" si="30"/>
        <v>164943.76000000024</v>
      </c>
      <c r="M84" s="5">
        <f t="shared" si="30"/>
        <v>20442.680000000255</v>
      </c>
      <c r="N84" s="5">
        <f t="shared" si="30"/>
        <v>4406.30000000025</v>
      </c>
      <c r="O84" s="5">
        <f t="shared" si="30"/>
        <v>11319.920000000246</v>
      </c>
      <c r="P84" s="7">
        <f>O84</f>
        <v>11319.920000000246</v>
      </c>
    </row>
    <row r="85" spans="1:16" ht="12.75">
      <c r="A85" s="184" t="s">
        <v>55</v>
      </c>
      <c r="B85" s="184"/>
      <c r="C85" s="184"/>
      <c r="D85" s="5">
        <f aca="true" t="shared" si="31" ref="D85:O85">D86*22950</f>
        <v>160650</v>
      </c>
      <c r="E85" s="5">
        <f t="shared" si="31"/>
        <v>413100</v>
      </c>
      <c r="F85" s="5">
        <f t="shared" si="31"/>
        <v>550800</v>
      </c>
      <c r="G85" s="5">
        <f t="shared" si="31"/>
        <v>688500</v>
      </c>
      <c r="H85" s="5">
        <f t="shared" si="31"/>
        <v>688500</v>
      </c>
      <c r="I85" s="5">
        <f t="shared" si="31"/>
        <v>688500</v>
      </c>
      <c r="J85" s="5">
        <f t="shared" si="31"/>
        <v>527850</v>
      </c>
      <c r="K85" s="5">
        <f t="shared" si="31"/>
        <v>527850</v>
      </c>
      <c r="L85" s="5">
        <f t="shared" si="31"/>
        <v>0</v>
      </c>
      <c r="M85" s="5">
        <f t="shared" si="31"/>
        <v>68850</v>
      </c>
      <c r="N85" s="5">
        <f t="shared" si="31"/>
        <v>91800</v>
      </c>
      <c r="O85" s="5">
        <f t="shared" si="31"/>
        <v>252450</v>
      </c>
      <c r="P85" s="7">
        <f>D85+E85+F85+G85+H85+I85+J85+K85+L85+M85+N85+O85</f>
        <v>4658850</v>
      </c>
    </row>
    <row r="86" spans="1:16" ht="12.75">
      <c r="A86" s="184" t="s">
        <v>56</v>
      </c>
      <c r="B86" s="184"/>
      <c r="C86" s="184"/>
      <c r="D86" s="10">
        <v>7</v>
      </c>
      <c r="E86" s="10">
        <v>18</v>
      </c>
      <c r="F86" s="10">
        <v>24</v>
      </c>
      <c r="G86" s="10">
        <v>30</v>
      </c>
      <c r="H86" s="10">
        <v>30</v>
      </c>
      <c r="I86" s="10">
        <v>30</v>
      </c>
      <c r="J86" s="10">
        <v>23</v>
      </c>
      <c r="K86" s="10">
        <v>23</v>
      </c>
      <c r="L86" s="10">
        <v>0</v>
      </c>
      <c r="M86" s="10">
        <v>3</v>
      </c>
      <c r="N86" s="10">
        <v>4</v>
      </c>
      <c r="O86" s="10">
        <v>11</v>
      </c>
      <c r="P86" s="11">
        <f>D86+E86+F86+G86+H86+I86+J86+K86+L86+M86+N86+O86</f>
        <v>203</v>
      </c>
    </row>
    <row r="87" spans="1:16" ht="12.75">
      <c r="A87" s="189" t="s">
        <v>57</v>
      </c>
      <c r="B87" s="189"/>
      <c r="C87" s="189"/>
      <c r="D87" s="5">
        <f aca="true" t="shared" si="32" ref="D87:O87">D79</f>
        <v>177507.38</v>
      </c>
      <c r="E87" s="5">
        <f t="shared" si="32"/>
        <v>409118.93</v>
      </c>
      <c r="F87" s="5">
        <f t="shared" si="32"/>
        <v>584413.43</v>
      </c>
      <c r="G87" s="5">
        <f t="shared" si="32"/>
        <v>732065.13</v>
      </c>
      <c r="H87" s="5">
        <f t="shared" si="32"/>
        <v>768836.23</v>
      </c>
      <c r="I87" s="5">
        <f t="shared" si="32"/>
        <v>652385.82</v>
      </c>
      <c r="J87" s="5">
        <f t="shared" si="32"/>
        <v>557802.09</v>
      </c>
      <c r="K87" s="5">
        <f t="shared" si="32"/>
        <v>381734</v>
      </c>
      <c r="L87" s="5">
        <f t="shared" si="32"/>
        <v>144501.08</v>
      </c>
      <c r="M87" s="5">
        <f t="shared" si="32"/>
        <v>84886.38</v>
      </c>
      <c r="N87" s="5">
        <f t="shared" si="32"/>
        <v>84886.38</v>
      </c>
      <c r="O87" s="5">
        <f t="shared" si="32"/>
        <v>84886.38</v>
      </c>
      <c r="P87" s="7">
        <f>D87+E87+F87+G87+H87+I87+J87+K87+L87+M87+N87+O87</f>
        <v>4663023.2299999995</v>
      </c>
    </row>
    <row r="88" spans="1:16" ht="12.75">
      <c r="A88" s="184" t="s">
        <v>53</v>
      </c>
      <c r="B88" s="184"/>
      <c r="C88" s="184"/>
      <c r="D88" s="5">
        <f aca="true" t="shared" si="33" ref="D88:O88">D84+D85-D87</f>
        <v>166199.39000000025</v>
      </c>
      <c r="E88" s="5">
        <f t="shared" si="33"/>
        <v>170180.46000000025</v>
      </c>
      <c r="F88" s="5">
        <f t="shared" si="33"/>
        <v>136567.03000000014</v>
      </c>
      <c r="G88" s="5">
        <f t="shared" si="33"/>
        <v>93001.90000000014</v>
      </c>
      <c r="H88" s="5">
        <f t="shared" si="33"/>
        <v>12665.670000000158</v>
      </c>
      <c r="I88" s="5">
        <f t="shared" si="33"/>
        <v>48779.85000000021</v>
      </c>
      <c r="J88" s="5">
        <f t="shared" si="33"/>
        <v>18827.760000000242</v>
      </c>
      <c r="K88" s="5">
        <f t="shared" si="33"/>
        <v>164943.76000000024</v>
      </c>
      <c r="L88" s="5">
        <f t="shared" si="33"/>
        <v>20442.680000000255</v>
      </c>
      <c r="M88" s="5">
        <f t="shared" si="33"/>
        <v>4406.30000000025</v>
      </c>
      <c r="N88" s="5">
        <f t="shared" si="33"/>
        <v>11319.920000000246</v>
      </c>
      <c r="O88" s="5">
        <f t="shared" si="33"/>
        <v>178883.54000000027</v>
      </c>
      <c r="P88" s="7">
        <f>O88-D84</f>
        <v>-4173.229999999981</v>
      </c>
    </row>
    <row r="89" spans="1:16" ht="18">
      <c r="A89" s="179" t="s">
        <v>67</v>
      </c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</row>
    <row r="90" spans="1:16" ht="12.75">
      <c r="A90" s="176"/>
      <c r="B90" s="176"/>
      <c r="C90" s="176"/>
      <c r="D90" s="176" t="s">
        <v>26</v>
      </c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8" t="s">
        <v>58</v>
      </c>
    </row>
    <row r="91" spans="1:16" ht="12.75">
      <c r="A91" s="176"/>
      <c r="B91" s="176"/>
      <c r="C91" s="176"/>
      <c r="D91" s="6">
        <v>48092</v>
      </c>
      <c r="E91" s="6">
        <v>48122</v>
      </c>
      <c r="F91" s="6">
        <v>48153</v>
      </c>
      <c r="G91" s="6">
        <v>48183</v>
      </c>
      <c r="H91" s="6">
        <v>48214</v>
      </c>
      <c r="I91" s="6">
        <v>48245</v>
      </c>
      <c r="J91" s="6">
        <v>48274</v>
      </c>
      <c r="K91" s="6">
        <v>48305</v>
      </c>
      <c r="L91" s="6">
        <v>48335</v>
      </c>
      <c r="M91" s="6">
        <v>48366</v>
      </c>
      <c r="N91" s="6">
        <v>48396</v>
      </c>
      <c r="O91" s="6">
        <v>48427</v>
      </c>
      <c r="P91" s="178"/>
    </row>
    <row r="92" spans="1:16" ht="12.75">
      <c r="A92" s="184" t="s">
        <v>54</v>
      </c>
      <c r="B92" s="184"/>
      <c r="C92" s="184"/>
      <c r="D92" s="5">
        <f>O88</f>
        <v>178883.54000000027</v>
      </c>
      <c r="E92" s="5">
        <f aca="true" t="shared" si="34" ref="E92:O92">D96</f>
        <v>162026.16000000027</v>
      </c>
      <c r="F92" s="5">
        <f t="shared" si="34"/>
        <v>166007.23000000027</v>
      </c>
      <c r="G92" s="5">
        <f t="shared" si="34"/>
        <v>132393.80000000016</v>
      </c>
      <c r="H92" s="5">
        <f t="shared" si="34"/>
        <v>88828.67000000016</v>
      </c>
      <c r="I92" s="5">
        <f t="shared" si="34"/>
        <v>8492.440000000177</v>
      </c>
      <c r="J92" s="5">
        <f t="shared" si="34"/>
        <v>44606.62000000023</v>
      </c>
      <c r="K92" s="5">
        <f t="shared" si="34"/>
        <v>14654.53000000026</v>
      </c>
      <c r="L92" s="5">
        <f t="shared" si="34"/>
        <v>160770.53000000026</v>
      </c>
      <c r="M92" s="5">
        <f t="shared" si="34"/>
        <v>16269.450000000274</v>
      </c>
      <c r="N92" s="5">
        <f t="shared" si="34"/>
        <v>233.07000000026892</v>
      </c>
      <c r="O92" s="5">
        <f t="shared" si="34"/>
        <v>7146.690000000264</v>
      </c>
      <c r="P92" s="7">
        <f>O92</f>
        <v>7146.690000000264</v>
      </c>
    </row>
    <row r="93" spans="1:16" ht="12.75">
      <c r="A93" s="184" t="s">
        <v>55</v>
      </c>
      <c r="B93" s="184"/>
      <c r="C93" s="184"/>
      <c r="D93" s="5">
        <f aca="true" t="shared" si="35" ref="D93:O93">D94*22950</f>
        <v>160650</v>
      </c>
      <c r="E93" s="5">
        <f t="shared" si="35"/>
        <v>413100</v>
      </c>
      <c r="F93" s="5">
        <f t="shared" si="35"/>
        <v>550800</v>
      </c>
      <c r="G93" s="5">
        <f t="shared" si="35"/>
        <v>688500</v>
      </c>
      <c r="H93" s="5">
        <f t="shared" si="35"/>
        <v>688500</v>
      </c>
      <c r="I93" s="5">
        <f t="shared" si="35"/>
        <v>688500</v>
      </c>
      <c r="J93" s="5">
        <f t="shared" si="35"/>
        <v>527850</v>
      </c>
      <c r="K93" s="5">
        <f t="shared" si="35"/>
        <v>527850</v>
      </c>
      <c r="L93" s="5">
        <f t="shared" si="35"/>
        <v>0</v>
      </c>
      <c r="M93" s="5">
        <f t="shared" si="35"/>
        <v>68850</v>
      </c>
      <c r="N93" s="5">
        <f t="shared" si="35"/>
        <v>91800</v>
      </c>
      <c r="O93" s="5">
        <f t="shared" si="35"/>
        <v>252450</v>
      </c>
      <c r="P93" s="7">
        <f>D93+E93+F93+G93+H93+I93+J93+K93+L93+M93+N93+O93</f>
        <v>4658850</v>
      </c>
    </row>
    <row r="94" spans="1:16" ht="12.75">
      <c r="A94" s="184" t="s">
        <v>56</v>
      </c>
      <c r="B94" s="184"/>
      <c r="C94" s="184"/>
      <c r="D94" s="10">
        <v>7</v>
      </c>
      <c r="E94" s="10">
        <v>18</v>
      </c>
      <c r="F94" s="10">
        <v>24</v>
      </c>
      <c r="G94" s="10">
        <v>30</v>
      </c>
      <c r="H94" s="10">
        <v>30</v>
      </c>
      <c r="I94" s="10">
        <v>30</v>
      </c>
      <c r="J94" s="10">
        <v>23</v>
      </c>
      <c r="K94" s="10">
        <v>23</v>
      </c>
      <c r="L94" s="10">
        <v>0</v>
      </c>
      <c r="M94" s="10">
        <v>3</v>
      </c>
      <c r="N94" s="10">
        <v>4</v>
      </c>
      <c r="O94" s="10">
        <v>11</v>
      </c>
      <c r="P94" s="11">
        <f>D94+E94+F94+G94+H94+I94+J94+K94+L94+M94+N94+O94</f>
        <v>203</v>
      </c>
    </row>
    <row r="95" spans="1:16" ht="12.75">
      <c r="A95" s="189" t="s">
        <v>57</v>
      </c>
      <c r="B95" s="189"/>
      <c r="C95" s="189"/>
      <c r="D95" s="5">
        <f aca="true" t="shared" si="36" ref="D95:O95">D87</f>
        <v>177507.38</v>
      </c>
      <c r="E95" s="5">
        <f t="shared" si="36"/>
        <v>409118.93</v>
      </c>
      <c r="F95" s="5">
        <f t="shared" si="36"/>
        <v>584413.43</v>
      </c>
      <c r="G95" s="5">
        <f t="shared" si="36"/>
        <v>732065.13</v>
      </c>
      <c r="H95" s="5">
        <f t="shared" si="36"/>
        <v>768836.23</v>
      </c>
      <c r="I95" s="5">
        <f t="shared" si="36"/>
        <v>652385.82</v>
      </c>
      <c r="J95" s="5">
        <f t="shared" si="36"/>
        <v>557802.09</v>
      </c>
      <c r="K95" s="5">
        <f t="shared" si="36"/>
        <v>381734</v>
      </c>
      <c r="L95" s="5">
        <f t="shared" si="36"/>
        <v>144501.08</v>
      </c>
      <c r="M95" s="5">
        <f t="shared" si="36"/>
        <v>84886.38</v>
      </c>
      <c r="N95" s="5">
        <f t="shared" si="36"/>
        <v>84886.38</v>
      </c>
      <c r="O95" s="5">
        <f t="shared" si="36"/>
        <v>84886.38</v>
      </c>
      <c r="P95" s="7">
        <f>D95+E95+F95+G95+H95+I95+J95+K95+L95+M95+N95+O95</f>
        <v>4663023.2299999995</v>
      </c>
    </row>
    <row r="96" spans="1:16" ht="12.75">
      <c r="A96" s="184" t="s">
        <v>53</v>
      </c>
      <c r="B96" s="184"/>
      <c r="C96" s="184"/>
      <c r="D96" s="5">
        <f aca="true" t="shared" si="37" ref="D96:O96">D92+D93-D95</f>
        <v>162026.16000000027</v>
      </c>
      <c r="E96" s="5">
        <f t="shared" si="37"/>
        <v>166007.23000000027</v>
      </c>
      <c r="F96" s="5">
        <f t="shared" si="37"/>
        <v>132393.80000000016</v>
      </c>
      <c r="G96" s="5">
        <f t="shared" si="37"/>
        <v>88828.67000000016</v>
      </c>
      <c r="H96" s="5">
        <f t="shared" si="37"/>
        <v>8492.440000000177</v>
      </c>
      <c r="I96" s="5">
        <f t="shared" si="37"/>
        <v>44606.62000000023</v>
      </c>
      <c r="J96" s="5">
        <f t="shared" si="37"/>
        <v>14654.53000000026</v>
      </c>
      <c r="K96" s="5">
        <f t="shared" si="37"/>
        <v>160770.53000000026</v>
      </c>
      <c r="L96" s="5">
        <f t="shared" si="37"/>
        <v>16269.450000000274</v>
      </c>
      <c r="M96" s="5">
        <f t="shared" si="37"/>
        <v>233.07000000026892</v>
      </c>
      <c r="N96" s="5">
        <f t="shared" si="37"/>
        <v>7146.690000000264</v>
      </c>
      <c r="O96" s="5">
        <f t="shared" si="37"/>
        <v>174710.31000000026</v>
      </c>
      <c r="P96" s="7">
        <f>O96-D92</f>
        <v>-4173.2300000000105</v>
      </c>
    </row>
    <row r="97" spans="1:16" ht="18">
      <c r="A97" s="179" t="s">
        <v>68</v>
      </c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</row>
    <row r="98" spans="1:16" ht="12.75">
      <c r="A98" s="176"/>
      <c r="B98" s="176"/>
      <c r="C98" s="176"/>
      <c r="D98" s="176" t="s">
        <v>26</v>
      </c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78" t="s">
        <v>58</v>
      </c>
    </row>
    <row r="99" spans="1:16" ht="12.75">
      <c r="A99" s="176"/>
      <c r="B99" s="176"/>
      <c r="C99" s="176"/>
      <c r="D99" s="6">
        <v>48458</v>
      </c>
      <c r="E99" s="6">
        <v>48488</v>
      </c>
      <c r="F99" s="6">
        <v>48519</v>
      </c>
      <c r="G99" s="6">
        <v>48549</v>
      </c>
      <c r="H99" s="6">
        <v>48580</v>
      </c>
      <c r="I99" s="6">
        <v>48611</v>
      </c>
      <c r="J99" s="6">
        <v>48639</v>
      </c>
      <c r="K99" s="6">
        <v>48670</v>
      </c>
      <c r="L99" s="6">
        <v>48700</v>
      </c>
      <c r="M99" s="6">
        <v>48731</v>
      </c>
      <c r="N99" s="6">
        <v>48761</v>
      </c>
      <c r="O99" s="6">
        <v>48792</v>
      </c>
      <c r="P99" s="178"/>
    </row>
    <row r="100" spans="1:16" ht="12.75">
      <c r="A100" s="184" t="s">
        <v>54</v>
      </c>
      <c r="B100" s="184"/>
      <c r="C100" s="184"/>
      <c r="D100" s="5">
        <f>O96</f>
        <v>174710.31000000026</v>
      </c>
      <c r="E100" s="5">
        <f aca="true" t="shared" si="38" ref="E100:O100">D104</f>
        <v>180802.93000000028</v>
      </c>
      <c r="F100" s="5">
        <f t="shared" si="38"/>
        <v>161834.0000000003</v>
      </c>
      <c r="G100" s="5">
        <f t="shared" si="38"/>
        <v>128220.57000000018</v>
      </c>
      <c r="H100" s="5">
        <f t="shared" si="38"/>
        <v>84655.44000000018</v>
      </c>
      <c r="I100" s="5">
        <f t="shared" si="38"/>
        <v>4319.210000000196</v>
      </c>
      <c r="J100" s="5">
        <f t="shared" si="38"/>
        <v>40433.39000000025</v>
      </c>
      <c r="K100" s="5">
        <f t="shared" si="38"/>
        <v>10481.30000000028</v>
      </c>
      <c r="L100" s="5">
        <f t="shared" si="38"/>
        <v>156597.30000000028</v>
      </c>
      <c r="M100" s="5">
        <f t="shared" si="38"/>
        <v>12096.220000000292</v>
      </c>
      <c r="N100" s="5">
        <f t="shared" si="38"/>
        <v>19009.840000000288</v>
      </c>
      <c r="O100" s="5">
        <f t="shared" si="38"/>
        <v>2973.460000000283</v>
      </c>
      <c r="P100" s="7">
        <f>O100</f>
        <v>2973.460000000283</v>
      </c>
    </row>
    <row r="101" spans="1:16" ht="12.75">
      <c r="A101" s="184" t="s">
        <v>55</v>
      </c>
      <c r="B101" s="184"/>
      <c r="C101" s="184"/>
      <c r="D101" s="5">
        <f aca="true" t="shared" si="39" ref="D101:O101">D102*22950</f>
        <v>183600</v>
      </c>
      <c r="E101" s="5">
        <f t="shared" si="39"/>
        <v>390150</v>
      </c>
      <c r="F101" s="5">
        <f t="shared" si="39"/>
        <v>550800</v>
      </c>
      <c r="G101" s="5">
        <f t="shared" si="39"/>
        <v>688500</v>
      </c>
      <c r="H101" s="5">
        <f t="shared" si="39"/>
        <v>688500</v>
      </c>
      <c r="I101" s="5">
        <f t="shared" si="39"/>
        <v>688500</v>
      </c>
      <c r="J101" s="5">
        <f t="shared" si="39"/>
        <v>527850</v>
      </c>
      <c r="K101" s="5">
        <f t="shared" si="39"/>
        <v>527850</v>
      </c>
      <c r="L101" s="5">
        <f t="shared" si="39"/>
        <v>0</v>
      </c>
      <c r="M101" s="5">
        <f t="shared" si="39"/>
        <v>91800</v>
      </c>
      <c r="N101" s="5">
        <f t="shared" si="39"/>
        <v>68850</v>
      </c>
      <c r="O101" s="5">
        <f t="shared" si="39"/>
        <v>252450</v>
      </c>
      <c r="P101" s="7">
        <f>D101+E101+F101+G101+H101+I101+J101+K101+L101+M101+N101+O101</f>
        <v>4658850</v>
      </c>
    </row>
    <row r="102" spans="1:16" ht="12.75">
      <c r="A102" s="184" t="s">
        <v>56</v>
      </c>
      <c r="B102" s="184"/>
      <c r="C102" s="184"/>
      <c r="D102" s="10">
        <v>8</v>
      </c>
      <c r="E102" s="10">
        <v>17</v>
      </c>
      <c r="F102" s="10">
        <v>24</v>
      </c>
      <c r="G102" s="10">
        <v>30</v>
      </c>
      <c r="H102" s="10">
        <v>30</v>
      </c>
      <c r="I102" s="10">
        <v>30</v>
      </c>
      <c r="J102" s="10">
        <v>23</v>
      </c>
      <c r="K102" s="10">
        <v>23</v>
      </c>
      <c r="L102" s="10">
        <v>0</v>
      </c>
      <c r="M102" s="10">
        <v>4</v>
      </c>
      <c r="N102" s="10">
        <v>3</v>
      </c>
      <c r="O102" s="10">
        <v>11</v>
      </c>
      <c r="P102" s="11">
        <f>D102+E102+F102+G102+H102+I102+J102+K102+L102+M102+N102+O102</f>
        <v>203</v>
      </c>
    </row>
    <row r="103" spans="1:16" ht="12.75">
      <c r="A103" s="189" t="s">
        <v>57</v>
      </c>
      <c r="B103" s="189"/>
      <c r="C103" s="189"/>
      <c r="D103" s="5">
        <f aca="true" t="shared" si="40" ref="D103:O103">D95</f>
        <v>177507.38</v>
      </c>
      <c r="E103" s="5">
        <f t="shared" si="40"/>
        <v>409118.93</v>
      </c>
      <c r="F103" s="5">
        <f t="shared" si="40"/>
        <v>584413.43</v>
      </c>
      <c r="G103" s="5">
        <f t="shared" si="40"/>
        <v>732065.13</v>
      </c>
      <c r="H103" s="5">
        <f t="shared" si="40"/>
        <v>768836.23</v>
      </c>
      <c r="I103" s="5">
        <f t="shared" si="40"/>
        <v>652385.82</v>
      </c>
      <c r="J103" s="5">
        <f t="shared" si="40"/>
        <v>557802.09</v>
      </c>
      <c r="K103" s="5">
        <f t="shared" si="40"/>
        <v>381734</v>
      </c>
      <c r="L103" s="5">
        <f t="shared" si="40"/>
        <v>144501.08</v>
      </c>
      <c r="M103" s="5">
        <f t="shared" si="40"/>
        <v>84886.38</v>
      </c>
      <c r="N103" s="5">
        <f t="shared" si="40"/>
        <v>84886.38</v>
      </c>
      <c r="O103" s="5">
        <f t="shared" si="40"/>
        <v>84886.38</v>
      </c>
      <c r="P103" s="7">
        <f>D103+E103+F103+G103+H103+I103+J103+K103+L103+M103+N103+O103</f>
        <v>4663023.2299999995</v>
      </c>
    </row>
    <row r="104" spans="1:16" ht="12.75">
      <c r="A104" s="184" t="s">
        <v>53</v>
      </c>
      <c r="B104" s="184"/>
      <c r="C104" s="184"/>
      <c r="D104" s="5">
        <f aca="true" t="shared" si="41" ref="D104:O104">D100+D101-D103</f>
        <v>180802.93000000028</v>
      </c>
      <c r="E104" s="5">
        <f t="shared" si="41"/>
        <v>161834.0000000003</v>
      </c>
      <c r="F104" s="5">
        <f t="shared" si="41"/>
        <v>128220.57000000018</v>
      </c>
      <c r="G104" s="5">
        <f t="shared" si="41"/>
        <v>84655.44000000018</v>
      </c>
      <c r="H104" s="5">
        <f t="shared" si="41"/>
        <v>4319.210000000196</v>
      </c>
      <c r="I104" s="5">
        <f t="shared" si="41"/>
        <v>40433.39000000025</v>
      </c>
      <c r="J104" s="5">
        <f t="shared" si="41"/>
        <v>10481.30000000028</v>
      </c>
      <c r="K104" s="5">
        <f t="shared" si="41"/>
        <v>156597.30000000028</v>
      </c>
      <c r="L104" s="5">
        <f t="shared" si="41"/>
        <v>12096.220000000292</v>
      </c>
      <c r="M104" s="5">
        <f t="shared" si="41"/>
        <v>19009.840000000288</v>
      </c>
      <c r="N104" s="5">
        <f t="shared" si="41"/>
        <v>2973.460000000283</v>
      </c>
      <c r="O104" s="5">
        <f t="shared" si="41"/>
        <v>170537.08000000028</v>
      </c>
      <c r="P104" s="7">
        <f>O104-D100</f>
        <v>-4173.229999999981</v>
      </c>
    </row>
    <row r="105" spans="1:16" ht="18">
      <c r="A105" s="179" t="s">
        <v>69</v>
      </c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</row>
    <row r="106" spans="1:16" ht="12.75">
      <c r="A106" s="176"/>
      <c r="B106" s="176"/>
      <c r="C106" s="176"/>
      <c r="D106" s="176" t="s">
        <v>26</v>
      </c>
      <c r="E106" s="176"/>
      <c r="F106" s="176"/>
      <c r="G106" s="176"/>
      <c r="H106" s="176"/>
      <c r="I106" s="176"/>
      <c r="J106" s="176"/>
      <c r="K106" s="176"/>
      <c r="L106" s="176"/>
      <c r="M106" s="176"/>
      <c r="N106" s="176"/>
      <c r="O106" s="176"/>
      <c r="P106" s="178" t="s">
        <v>58</v>
      </c>
    </row>
    <row r="107" spans="1:16" ht="12.75">
      <c r="A107" s="176"/>
      <c r="B107" s="176"/>
      <c r="C107" s="176"/>
      <c r="D107" s="6">
        <v>48823</v>
      </c>
      <c r="E107" s="6">
        <v>48853</v>
      </c>
      <c r="F107" s="6">
        <v>48884</v>
      </c>
      <c r="G107" s="6">
        <v>48914</v>
      </c>
      <c r="H107" s="6">
        <v>48945</v>
      </c>
      <c r="I107" s="6">
        <v>48976</v>
      </c>
      <c r="J107" s="6">
        <v>49004</v>
      </c>
      <c r="K107" s="6">
        <v>49035</v>
      </c>
      <c r="L107" s="6">
        <v>49065</v>
      </c>
      <c r="M107" s="6">
        <v>49096</v>
      </c>
      <c r="N107" s="6">
        <v>49126</v>
      </c>
      <c r="O107" s="6">
        <v>49157</v>
      </c>
      <c r="P107" s="178"/>
    </row>
    <row r="108" spans="1:16" ht="12.75">
      <c r="A108" s="184" t="s">
        <v>54</v>
      </c>
      <c r="B108" s="184"/>
      <c r="C108" s="184"/>
      <c r="D108" s="5">
        <f>O104</f>
        <v>170537.08000000028</v>
      </c>
      <c r="E108" s="5">
        <f aca="true" t="shared" si="42" ref="E108:O108">D112</f>
        <v>176629.7000000003</v>
      </c>
      <c r="F108" s="5">
        <f t="shared" si="42"/>
        <v>180610.7700000003</v>
      </c>
      <c r="G108" s="5">
        <f t="shared" si="42"/>
        <v>124047.3400000002</v>
      </c>
      <c r="H108" s="5">
        <f t="shared" si="42"/>
        <v>80482.2100000002</v>
      </c>
      <c r="I108" s="5">
        <f t="shared" si="42"/>
        <v>145.9800000002142</v>
      </c>
      <c r="J108" s="5">
        <f t="shared" si="42"/>
        <v>36260.160000000265</v>
      </c>
      <c r="K108" s="5">
        <f t="shared" si="42"/>
        <v>6308.070000000298</v>
      </c>
      <c r="L108" s="5">
        <f t="shared" si="42"/>
        <v>152424.0700000003</v>
      </c>
      <c r="M108" s="5">
        <f t="shared" si="42"/>
        <v>7922.990000000311</v>
      </c>
      <c r="N108" s="5">
        <f t="shared" si="42"/>
        <v>14836.610000000306</v>
      </c>
      <c r="O108" s="5">
        <f t="shared" si="42"/>
        <v>21750.2300000003</v>
      </c>
      <c r="P108" s="7">
        <f>O108</f>
        <v>21750.2300000003</v>
      </c>
    </row>
    <row r="109" spans="1:16" ht="12.75">
      <c r="A109" s="184" t="s">
        <v>55</v>
      </c>
      <c r="B109" s="184"/>
      <c r="C109" s="184"/>
      <c r="D109" s="5">
        <f aca="true" t="shared" si="43" ref="D109:O109">D110*22950</f>
        <v>183600</v>
      </c>
      <c r="E109" s="5">
        <f t="shared" si="43"/>
        <v>413100</v>
      </c>
      <c r="F109" s="5">
        <f t="shared" si="43"/>
        <v>527850</v>
      </c>
      <c r="G109" s="5">
        <f t="shared" si="43"/>
        <v>688500</v>
      </c>
      <c r="H109" s="5">
        <f t="shared" si="43"/>
        <v>688500</v>
      </c>
      <c r="I109" s="5">
        <f t="shared" si="43"/>
        <v>688500</v>
      </c>
      <c r="J109" s="5">
        <f t="shared" si="43"/>
        <v>527850</v>
      </c>
      <c r="K109" s="5">
        <f t="shared" si="43"/>
        <v>527850</v>
      </c>
      <c r="L109" s="5">
        <f t="shared" si="43"/>
        <v>0</v>
      </c>
      <c r="M109" s="5">
        <f t="shared" si="43"/>
        <v>91800</v>
      </c>
      <c r="N109" s="5">
        <f t="shared" si="43"/>
        <v>91800</v>
      </c>
      <c r="O109" s="5">
        <f t="shared" si="43"/>
        <v>229500</v>
      </c>
      <c r="P109" s="7">
        <f>D109+E109+F109+G109+H109+I109+J109+K109+L109+M109+N109+O109</f>
        <v>4658850</v>
      </c>
    </row>
    <row r="110" spans="1:16" ht="12.75">
      <c r="A110" s="184" t="s">
        <v>56</v>
      </c>
      <c r="B110" s="184"/>
      <c r="C110" s="184"/>
      <c r="D110" s="10">
        <v>8</v>
      </c>
      <c r="E110" s="10">
        <v>18</v>
      </c>
      <c r="F110" s="10">
        <v>23</v>
      </c>
      <c r="G110" s="10">
        <v>30</v>
      </c>
      <c r="H110" s="10">
        <v>30</v>
      </c>
      <c r="I110" s="10">
        <v>30</v>
      </c>
      <c r="J110" s="10">
        <v>23</v>
      </c>
      <c r="K110" s="10">
        <v>23</v>
      </c>
      <c r="L110" s="10">
        <v>0</v>
      </c>
      <c r="M110" s="10">
        <v>4</v>
      </c>
      <c r="N110" s="10">
        <v>4</v>
      </c>
      <c r="O110" s="10">
        <v>10</v>
      </c>
      <c r="P110" s="11">
        <f>D110+E110+F110+G110+H110+I110+J110+K110+L110+M110+N110+O110</f>
        <v>203</v>
      </c>
    </row>
    <row r="111" spans="1:16" ht="12.75">
      <c r="A111" s="189" t="s">
        <v>57</v>
      </c>
      <c r="B111" s="189"/>
      <c r="C111" s="189"/>
      <c r="D111" s="5">
        <f aca="true" t="shared" si="44" ref="D111:O111">D103</f>
        <v>177507.38</v>
      </c>
      <c r="E111" s="5">
        <f t="shared" si="44"/>
        <v>409118.93</v>
      </c>
      <c r="F111" s="5">
        <f t="shared" si="44"/>
        <v>584413.43</v>
      </c>
      <c r="G111" s="5">
        <f t="shared" si="44"/>
        <v>732065.13</v>
      </c>
      <c r="H111" s="5">
        <f t="shared" si="44"/>
        <v>768836.23</v>
      </c>
      <c r="I111" s="5">
        <f t="shared" si="44"/>
        <v>652385.82</v>
      </c>
      <c r="J111" s="5">
        <f t="shared" si="44"/>
        <v>557802.09</v>
      </c>
      <c r="K111" s="5">
        <f t="shared" si="44"/>
        <v>381734</v>
      </c>
      <c r="L111" s="5">
        <f t="shared" si="44"/>
        <v>144501.08</v>
      </c>
      <c r="M111" s="5">
        <f t="shared" si="44"/>
        <v>84886.38</v>
      </c>
      <c r="N111" s="5">
        <f t="shared" si="44"/>
        <v>84886.38</v>
      </c>
      <c r="O111" s="5">
        <f t="shared" si="44"/>
        <v>84886.38</v>
      </c>
      <c r="P111" s="7">
        <f>D111+E111+F111+G111+H111+I111+J111+K111+L111+M111+N111+O111</f>
        <v>4663023.2299999995</v>
      </c>
    </row>
    <row r="112" spans="1:16" ht="12.75">
      <c r="A112" s="184" t="s">
        <v>53</v>
      </c>
      <c r="B112" s="184"/>
      <c r="C112" s="184"/>
      <c r="D112" s="5">
        <f aca="true" t="shared" si="45" ref="D112:O112">D108+D109-D111</f>
        <v>176629.7000000003</v>
      </c>
      <c r="E112" s="5">
        <f t="shared" si="45"/>
        <v>180610.7700000003</v>
      </c>
      <c r="F112" s="5">
        <f t="shared" si="45"/>
        <v>124047.3400000002</v>
      </c>
      <c r="G112" s="5">
        <f t="shared" si="45"/>
        <v>80482.2100000002</v>
      </c>
      <c r="H112" s="5">
        <f t="shared" si="45"/>
        <v>145.9800000002142</v>
      </c>
      <c r="I112" s="5">
        <f t="shared" si="45"/>
        <v>36260.160000000265</v>
      </c>
      <c r="J112" s="5">
        <f t="shared" si="45"/>
        <v>6308.070000000298</v>
      </c>
      <c r="K112" s="5">
        <f t="shared" si="45"/>
        <v>152424.0700000003</v>
      </c>
      <c r="L112" s="5">
        <f t="shared" si="45"/>
        <v>7922.990000000311</v>
      </c>
      <c r="M112" s="5">
        <f t="shared" si="45"/>
        <v>14836.610000000306</v>
      </c>
      <c r="N112" s="5">
        <f t="shared" si="45"/>
        <v>21750.2300000003</v>
      </c>
      <c r="O112" s="5">
        <f t="shared" si="45"/>
        <v>166363.8500000003</v>
      </c>
      <c r="P112" s="7">
        <f>O112-D108</f>
        <v>-4173.229999999981</v>
      </c>
    </row>
    <row r="113" spans="1:16" ht="18">
      <c r="A113" s="179" t="s">
        <v>70</v>
      </c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</row>
    <row r="114" spans="1:16" ht="12.75">
      <c r="A114" s="176"/>
      <c r="B114" s="176"/>
      <c r="C114" s="176"/>
      <c r="D114" s="176" t="s">
        <v>26</v>
      </c>
      <c r="E114" s="176"/>
      <c r="F114" s="176"/>
      <c r="G114" s="176"/>
      <c r="H114" s="176"/>
      <c r="I114" s="176"/>
      <c r="J114" s="176"/>
      <c r="K114" s="176"/>
      <c r="L114" s="176"/>
      <c r="M114" s="176"/>
      <c r="N114" s="176"/>
      <c r="O114" s="176"/>
      <c r="P114" s="178" t="s">
        <v>58</v>
      </c>
    </row>
    <row r="115" spans="1:16" ht="12.75">
      <c r="A115" s="176"/>
      <c r="B115" s="176"/>
      <c r="C115" s="176"/>
      <c r="D115" s="6">
        <v>49188</v>
      </c>
      <c r="E115" s="6">
        <v>49218</v>
      </c>
      <c r="F115" s="6">
        <v>49249</v>
      </c>
      <c r="G115" s="6">
        <v>49279</v>
      </c>
      <c r="H115" s="6">
        <v>49310</v>
      </c>
      <c r="I115" s="6">
        <v>49341</v>
      </c>
      <c r="J115" s="6">
        <v>49369</v>
      </c>
      <c r="K115" s="6">
        <v>49400</v>
      </c>
      <c r="L115" s="6">
        <v>49430</v>
      </c>
      <c r="M115" s="6">
        <v>49461</v>
      </c>
      <c r="N115" s="6">
        <v>49491</v>
      </c>
      <c r="O115" s="6">
        <v>49522</v>
      </c>
      <c r="P115" s="178"/>
    </row>
    <row r="116" spans="1:16" ht="12.75">
      <c r="A116" s="184" t="s">
        <v>54</v>
      </c>
      <c r="B116" s="184"/>
      <c r="C116" s="184"/>
      <c r="D116" s="5">
        <f>O112</f>
        <v>166363.8500000003</v>
      </c>
      <c r="E116" s="5">
        <f aca="true" t="shared" si="46" ref="E116:O116">D120</f>
        <v>172456.47000000032</v>
      </c>
      <c r="F116" s="5">
        <f t="shared" si="46"/>
        <v>176437.54000000033</v>
      </c>
      <c r="G116" s="5">
        <f t="shared" si="46"/>
        <v>142824.11000000022</v>
      </c>
      <c r="H116" s="5">
        <f t="shared" si="46"/>
        <v>99258.98000000021</v>
      </c>
      <c r="I116" s="5">
        <f t="shared" si="46"/>
        <v>18922.750000000233</v>
      </c>
      <c r="J116" s="5">
        <f t="shared" si="46"/>
        <v>55036.930000000284</v>
      </c>
      <c r="K116" s="5">
        <f t="shared" si="46"/>
        <v>2134.8400000003166</v>
      </c>
      <c r="L116" s="5">
        <f t="shared" si="46"/>
        <v>148250.84000000032</v>
      </c>
      <c r="M116" s="5">
        <f t="shared" si="46"/>
        <v>3749.7600000003295</v>
      </c>
      <c r="N116" s="5">
        <f t="shared" si="46"/>
        <v>10663.380000000325</v>
      </c>
      <c r="O116" s="5">
        <f t="shared" si="46"/>
        <v>17577.00000000032</v>
      </c>
      <c r="P116" s="7">
        <f>O116</f>
        <v>17577.00000000032</v>
      </c>
    </row>
    <row r="117" spans="1:16" ht="12.75">
      <c r="A117" s="184" t="s">
        <v>55</v>
      </c>
      <c r="B117" s="184"/>
      <c r="C117" s="184"/>
      <c r="D117" s="5">
        <f aca="true" t="shared" si="47" ref="D117:O117">D118*22950</f>
        <v>183600</v>
      </c>
      <c r="E117" s="5">
        <f t="shared" si="47"/>
        <v>413100</v>
      </c>
      <c r="F117" s="5">
        <f t="shared" si="47"/>
        <v>550800</v>
      </c>
      <c r="G117" s="5">
        <f t="shared" si="47"/>
        <v>688500</v>
      </c>
      <c r="H117" s="5">
        <f t="shared" si="47"/>
        <v>688500</v>
      </c>
      <c r="I117" s="5">
        <f t="shared" si="47"/>
        <v>688500</v>
      </c>
      <c r="J117" s="5">
        <f t="shared" si="47"/>
        <v>504900</v>
      </c>
      <c r="K117" s="5">
        <f t="shared" si="47"/>
        <v>527850</v>
      </c>
      <c r="L117" s="5">
        <f t="shared" si="47"/>
        <v>0</v>
      </c>
      <c r="M117" s="5">
        <f t="shared" si="47"/>
        <v>91800</v>
      </c>
      <c r="N117" s="5">
        <f t="shared" si="47"/>
        <v>91800</v>
      </c>
      <c r="O117" s="5">
        <f t="shared" si="47"/>
        <v>229500</v>
      </c>
      <c r="P117" s="7">
        <f>D117+E117+F117+G117+H117+I117+J117+K117+L117+M117+N117+O117</f>
        <v>4658850</v>
      </c>
    </row>
    <row r="118" spans="1:16" ht="12.75">
      <c r="A118" s="184" t="s">
        <v>56</v>
      </c>
      <c r="B118" s="184"/>
      <c r="C118" s="184"/>
      <c r="D118" s="10">
        <v>8</v>
      </c>
      <c r="E118" s="10">
        <v>18</v>
      </c>
      <c r="F118" s="10">
        <v>24</v>
      </c>
      <c r="G118" s="10">
        <v>30</v>
      </c>
      <c r="H118" s="10">
        <v>30</v>
      </c>
      <c r="I118" s="10">
        <v>30</v>
      </c>
      <c r="J118" s="10">
        <v>22</v>
      </c>
      <c r="K118" s="10">
        <v>23</v>
      </c>
      <c r="L118" s="10">
        <v>0</v>
      </c>
      <c r="M118" s="10">
        <v>4</v>
      </c>
      <c r="N118" s="10">
        <v>4</v>
      </c>
      <c r="O118" s="10">
        <v>10</v>
      </c>
      <c r="P118" s="11">
        <f>D118+E118+F118+G118+H118+I118+J118+K118+L118+M118+N118+O118</f>
        <v>203</v>
      </c>
    </row>
    <row r="119" spans="1:16" ht="12.75">
      <c r="A119" s="189" t="s">
        <v>57</v>
      </c>
      <c r="B119" s="189"/>
      <c r="C119" s="189"/>
      <c r="D119" s="5">
        <f aca="true" t="shared" si="48" ref="D119:O119">D111</f>
        <v>177507.38</v>
      </c>
      <c r="E119" s="5">
        <f t="shared" si="48"/>
        <v>409118.93</v>
      </c>
      <c r="F119" s="5">
        <f t="shared" si="48"/>
        <v>584413.43</v>
      </c>
      <c r="G119" s="5">
        <f t="shared" si="48"/>
        <v>732065.13</v>
      </c>
      <c r="H119" s="5">
        <f t="shared" si="48"/>
        <v>768836.23</v>
      </c>
      <c r="I119" s="5">
        <f t="shared" si="48"/>
        <v>652385.82</v>
      </c>
      <c r="J119" s="5">
        <f t="shared" si="48"/>
        <v>557802.09</v>
      </c>
      <c r="K119" s="5">
        <f t="shared" si="48"/>
        <v>381734</v>
      </c>
      <c r="L119" s="5">
        <f t="shared" si="48"/>
        <v>144501.08</v>
      </c>
      <c r="M119" s="5">
        <f t="shared" si="48"/>
        <v>84886.38</v>
      </c>
      <c r="N119" s="5">
        <f t="shared" si="48"/>
        <v>84886.38</v>
      </c>
      <c r="O119" s="5">
        <f t="shared" si="48"/>
        <v>84886.38</v>
      </c>
      <c r="P119" s="7">
        <f>D119+E119+F119+G119+H119+I119+J119+K119+L119+M119+N119+O119</f>
        <v>4663023.2299999995</v>
      </c>
    </row>
    <row r="120" spans="1:16" ht="12.75">
      <c r="A120" s="184" t="s">
        <v>53</v>
      </c>
      <c r="B120" s="184"/>
      <c r="C120" s="184"/>
      <c r="D120" s="5">
        <f aca="true" t="shared" si="49" ref="D120:O120">D116+D117-D119</f>
        <v>172456.47000000032</v>
      </c>
      <c r="E120" s="5">
        <f t="shared" si="49"/>
        <v>176437.54000000033</v>
      </c>
      <c r="F120" s="5">
        <f t="shared" si="49"/>
        <v>142824.11000000022</v>
      </c>
      <c r="G120" s="5">
        <f t="shared" si="49"/>
        <v>99258.98000000021</v>
      </c>
      <c r="H120" s="5">
        <f t="shared" si="49"/>
        <v>18922.750000000233</v>
      </c>
      <c r="I120" s="5">
        <f t="shared" si="49"/>
        <v>55036.930000000284</v>
      </c>
      <c r="J120" s="5">
        <f t="shared" si="49"/>
        <v>2134.8400000003166</v>
      </c>
      <c r="K120" s="5">
        <f t="shared" si="49"/>
        <v>148250.84000000032</v>
      </c>
      <c r="L120" s="5">
        <f t="shared" si="49"/>
        <v>3749.7600000003295</v>
      </c>
      <c r="M120" s="5">
        <f t="shared" si="49"/>
        <v>10663.380000000325</v>
      </c>
      <c r="N120" s="5">
        <f t="shared" si="49"/>
        <v>17577.00000000032</v>
      </c>
      <c r="O120" s="5">
        <f t="shared" si="49"/>
        <v>162190.62000000032</v>
      </c>
      <c r="P120" s="7">
        <f>O120-D116</f>
        <v>-4173.229999999981</v>
      </c>
    </row>
  </sheetData>
  <sheetProtection/>
  <mergeCells count="178">
    <mergeCell ref="A111:C111"/>
    <mergeCell ref="A110:C110"/>
    <mergeCell ref="A98:C99"/>
    <mergeCell ref="D98:O98"/>
    <mergeCell ref="P98:P99"/>
    <mergeCell ref="A101:C101"/>
    <mergeCell ref="A100:C100"/>
    <mergeCell ref="A112:C112"/>
    <mergeCell ref="A105:P105"/>
    <mergeCell ref="A106:C107"/>
    <mergeCell ref="D106:O106"/>
    <mergeCell ref="P106:P107"/>
    <mergeCell ref="A120:C120"/>
    <mergeCell ref="A116:C116"/>
    <mergeCell ref="A117:C117"/>
    <mergeCell ref="A118:C118"/>
    <mergeCell ref="A119:C119"/>
    <mergeCell ref="P82:P83"/>
    <mergeCell ref="A114:C115"/>
    <mergeCell ref="D114:O114"/>
    <mergeCell ref="D90:O90"/>
    <mergeCell ref="P90:P91"/>
    <mergeCell ref="P114:P115"/>
    <mergeCell ref="A103:C103"/>
    <mergeCell ref="A109:C109"/>
    <mergeCell ref="A108:C108"/>
    <mergeCell ref="A104:C104"/>
    <mergeCell ref="A94:C94"/>
    <mergeCell ref="A102:C102"/>
    <mergeCell ref="A113:P113"/>
    <mergeCell ref="A96:C96"/>
    <mergeCell ref="A97:P97"/>
    <mergeCell ref="A95:C95"/>
    <mergeCell ref="A88:C88"/>
    <mergeCell ref="A89:P89"/>
    <mergeCell ref="A90:C91"/>
    <mergeCell ref="A86:C86"/>
    <mergeCell ref="A87:C87"/>
    <mergeCell ref="A92:C92"/>
    <mergeCell ref="A93:C93"/>
    <mergeCell ref="A84:C84"/>
    <mergeCell ref="A85:C85"/>
    <mergeCell ref="A79:C79"/>
    <mergeCell ref="A81:P81"/>
    <mergeCell ref="P74:P75"/>
    <mergeCell ref="A77:C77"/>
    <mergeCell ref="A76:C76"/>
    <mergeCell ref="D74:O74"/>
    <mergeCell ref="A80:C80"/>
    <mergeCell ref="D82:O82"/>
    <mergeCell ref="D66:O66"/>
    <mergeCell ref="A72:C72"/>
    <mergeCell ref="A74:C75"/>
    <mergeCell ref="A78:C78"/>
    <mergeCell ref="A82:C83"/>
    <mergeCell ref="C5:D5"/>
    <mergeCell ref="C11:D11"/>
    <mergeCell ref="E6:F6"/>
    <mergeCell ref="A69:C69"/>
    <mergeCell ref="A70:C70"/>
    <mergeCell ref="A71:C71"/>
    <mergeCell ref="A66:C67"/>
    <mergeCell ref="A68:C68"/>
    <mergeCell ref="A73:P73"/>
    <mergeCell ref="A64:C64"/>
    <mergeCell ref="C14:D14"/>
    <mergeCell ref="C15:D15"/>
    <mergeCell ref="A60:C60"/>
    <mergeCell ref="E5:F5"/>
    <mergeCell ref="I13:J13"/>
    <mergeCell ref="G14:H14"/>
    <mergeCell ref="C13:D13"/>
    <mergeCell ref="E13:F13"/>
    <mergeCell ref="A47:C47"/>
    <mergeCell ref="I15:J15"/>
    <mergeCell ref="G15:H15"/>
    <mergeCell ref="A56:C56"/>
    <mergeCell ref="C10:D10"/>
    <mergeCell ref="C9:D9"/>
    <mergeCell ref="G13:H13"/>
    <mergeCell ref="I14:J14"/>
    <mergeCell ref="A57:P57"/>
    <mergeCell ref="A65:P65"/>
    <mergeCell ref="A58:C59"/>
    <mergeCell ref="P58:P59"/>
    <mergeCell ref="D58:O58"/>
    <mergeCell ref="A63:C63"/>
    <mergeCell ref="A62:C62"/>
    <mergeCell ref="A61:C61"/>
    <mergeCell ref="P66:P67"/>
    <mergeCell ref="A1:J1"/>
    <mergeCell ref="A2:A3"/>
    <mergeCell ref="B2:B3"/>
    <mergeCell ref="C3:D3"/>
    <mergeCell ref="E3:F3"/>
    <mergeCell ref="G2:J2"/>
    <mergeCell ref="G12:H12"/>
    <mergeCell ref="E12:F12"/>
    <mergeCell ref="G6:H6"/>
    <mergeCell ref="E9:F9"/>
    <mergeCell ref="E10:F10"/>
    <mergeCell ref="E11:F11"/>
    <mergeCell ref="I7:J7"/>
    <mergeCell ref="I11:J11"/>
    <mergeCell ref="G10:H10"/>
    <mergeCell ref="I9:J9"/>
    <mergeCell ref="C4:D4"/>
    <mergeCell ref="C6:D6"/>
    <mergeCell ref="C7:D7"/>
    <mergeCell ref="E4:F4"/>
    <mergeCell ref="I6:J6"/>
    <mergeCell ref="I8:J8"/>
    <mergeCell ref="G7:H7"/>
    <mergeCell ref="E7:F7"/>
    <mergeCell ref="C8:D8"/>
    <mergeCell ref="E8:F8"/>
    <mergeCell ref="I3:J3"/>
    <mergeCell ref="G3:H3"/>
    <mergeCell ref="G8:H8"/>
    <mergeCell ref="G5:H5"/>
    <mergeCell ref="I4:J4"/>
    <mergeCell ref="G4:H4"/>
    <mergeCell ref="I5:J5"/>
    <mergeCell ref="C2:F2"/>
    <mergeCell ref="C16:D16"/>
    <mergeCell ref="A20:C20"/>
    <mergeCell ref="A37:C37"/>
    <mergeCell ref="A36:C36"/>
    <mergeCell ref="D34:O34"/>
    <mergeCell ref="A31:C31"/>
    <mergeCell ref="A23:C23"/>
    <mergeCell ref="I16:J16"/>
    <mergeCell ref="A29:C29"/>
    <mergeCell ref="I12:J12"/>
    <mergeCell ref="G9:H9"/>
    <mergeCell ref="G11:H11"/>
    <mergeCell ref="I10:J10"/>
    <mergeCell ref="A48:C48"/>
    <mergeCell ref="C12:D12"/>
    <mergeCell ref="E14:F14"/>
    <mergeCell ref="E15:F15"/>
    <mergeCell ref="A46:C46"/>
    <mergeCell ref="A42:C43"/>
    <mergeCell ref="A55:C55"/>
    <mergeCell ref="A49:P49"/>
    <mergeCell ref="D50:O50"/>
    <mergeCell ref="A53:C53"/>
    <mergeCell ref="A52:C52"/>
    <mergeCell ref="A50:C51"/>
    <mergeCell ref="P50:P51"/>
    <mergeCell ref="A54:C54"/>
    <mergeCell ref="D18:O18"/>
    <mergeCell ref="A21:C21"/>
    <mergeCell ref="G16:H16"/>
    <mergeCell ref="A17:P17"/>
    <mergeCell ref="P18:P19"/>
    <mergeCell ref="A22:C22"/>
    <mergeCell ref="E16:F16"/>
    <mergeCell ref="A18:C19"/>
    <mergeCell ref="A45:C45"/>
    <mergeCell ref="A44:C44"/>
    <mergeCell ref="A40:C40"/>
    <mergeCell ref="D42:O42"/>
    <mergeCell ref="A41:P41"/>
    <mergeCell ref="A26:C27"/>
    <mergeCell ref="P34:P35"/>
    <mergeCell ref="A30:C30"/>
    <mergeCell ref="D26:O26"/>
    <mergeCell ref="A39:C39"/>
    <mergeCell ref="A28:C28"/>
    <mergeCell ref="A24:C24"/>
    <mergeCell ref="A38:C38"/>
    <mergeCell ref="A33:P33"/>
    <mergeCell ref="A34:C35"/>
    <mergeCell ref="P42:P43"/>
    <mergeCell ref="P26:P27"/>
    <mergeCell ref="A32:C32"/>
    <mergeCell ref="A25:P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4">
      <selection activeCell="G15" sqref="G15:H15"/>
    </sheetView>
  </sheetViews>
  <sheetFormatPr defaultColWidth="9.00390625" defaultRowHeight="12.75"/>
  <sheetData>
    <row r="1" spans="1:10" ht="18">
      <c r="A1" s="192" t="s">
        <v>136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12.75">
      <c r="A2" s="176" t="s">
        <v>0</v>
      </c>
      <c r="B2" s="176" t="s">
        <v>26</v>
      </c>
      <c r="C2" s="176" t="s">
        <v>37</v>
      </c>
      <c r="D2" s="176"/>
      <c r="E2" s="176"/>
      <c r="F2" s="176"/>
      <c r="G2" s="176" t="s">
        <v>51</v>
      </c>
      <c r="H2" s="176"/>
      <c r="I2" s="176"/>
      <c r="J2" s="176"/>
    </row>
    <row r="3" spans="1:10" ht="12.75">
      <c r="A3" s="176"/>
      <c r="B3" s="176"/>
      <c r="C3" s="176" t="s">
        <v>139</v>
      </c>
      <c r="D3" s="176"/>
      <c r="E3" s="176" t="s">
        <v>137</v>
      </c>
      <c r="F3" s="176"/>
      <c r="G3" s="176" t="s">
        <v>138</v>
      </c>
      <c r="H3" s="176"/>
      <c r="I3" s="176" t="s">
        <v>137</v>
      </c>
      <c r="J3" s="176"/>
    </row>
    <row r="4" spans="1:10" ht="12.75">
      <c r="A4" s="2">
        <v>1</v>
      </c>
      <c r="B4" s="2" t="s">
        <v>38</v>
      </c>
      <c r="C4" s="175">
        <f>G16/I16*E4</f>
        <v>17820.703511485623</v>
      </c>
      <c r="D4" s="175"/>
      <c r="E4" s="176">
        <v>375840.59</v>
      </c>
      <c r="F4" s="176"/>
      <c r="G4" s="175">
        <f>221100/I16*I4</f>
        <v>36454.82384890457</v>
      </c>
      <c r="H4" s="175"/>
      <c r="I4" s="176">
        <v>768836.23</v>
      </c>
      <c r="J4" s="176"/>
    </row>
    <row r="5" spans="1:10" ht="12.75">
      <c r="A5" s="2">
        <v>2</v>
      </c>
      <c r="B5" s="2" t="s">
        <v>39</v>
      </c>
      <c r="C5" s="175">
        <f>G16/I16*E5</f>
        <v>15052.941221997733</v>
      </c>
      <c r="D5" s="175"/>
      <c r="E5" s="176">
        <v>317468.18</v>
      </c>
      <c r="F5" s="176"/>
      <c r="G5" s="175">
        <f>221100/I16*I5</f>
        <v>30933.258893930066</v>
      </c>
      <c r="H5" s="175"/>
      <c r="I5" s="176">
        <v>652385.82</v>
      </c>
      <c r="J5" s="176"/>
    </row>
    <row r="6" spans="1:10" ht="12.75">
      <c r="A6" s="2">
        <v>3</v>
      </c>
      <c r="B6" s="2" t="s">
        <v>40</v>
      </c>
      <c r="C6" s="175">
        <f>G16/I16*E6</f>
        <v>12804.900271749239</v>
      </c>
      <c r="D6" s="175"/>
      <c r="E6" s="176">
        <v>270056.75</v>
      </c>
      <c r="F6" s="176"/>
      <c r="G6" s="175">
        <f>221100/I16*I6</f>
        <v>26448.515483591105</v>
      </c>
      <c r="H6" s="175"/>
      <c r="I6" s="176">
        <v>557802.09</v>
      </c>
      <c r="J6" s="176"/>
    </row>
    <row r="7" spans="1:10" ht="12.75">
      <c r="A7" s="2">
        <v>4</v>
      </c>
      <c r="B7" s="2" t="s">
        <v>41</v>
      </c>
      <c r="C7" s="175">
        <f>G16/I16*E7</f>
        <v>8620.160992421223</v>
      </c>
      <c r="D7" s="175"/>
      <c r="E7" s="176">
        <v>181800.14</v>
      </c>
      <c r="F7" s="176"/>
      <c r="G7" s="175">
        <f>221100/I16*I7</f>
        <v>18100.143026737613</v>
      </c>
      <c r="H7" s="175"/>
      <c r="I7" s="175">
        <v>381734</v>
      </c>
      <c r="J7" s="175"/>
    </row>
    <row r="8" spans="1:10" ht="12.75">
      <c r="A8" s="2">
        <v>5</v>
      </c>
      <c r="B8" s="2" t="s">
        <v>42</v>
      </c>
      <c r="C8" s="175">
        <f>G16/I16*E8</f>
        <v>2981.672510346899</v>
      </c>
      <c r="D8" s="175"/>
      <c r="E8" s="175">
        <v>62883.8</v>
      </c>
      <c r="F8" s="175"/>
      <c r="G8" s="175">
        <f>221100/I16*I8</f>
        <v>6851.604037151666</v>
      </c>
      <c r="H8" s="175"/>
      <c r="I8" s="176">
        <v>144501.08</v>
      </c>
      <c r="J8" s="176"/>
    </row>
    <row r="9" spans="1:10" ht="12.75">
      <c r="A9" s="2">
        <v>6</v>
      </c>
      <c r="B9" s="2" t="s">
        <v>43</v>
      </c>
      <c r="C9" s="175">
        <f>G16/I16*E9</f>
        <v>1527.1082335997717</v>
      </c>
      <c r="D9" s="175"/>
      <c r="E9" s="176">
        <v>32206.88</v>
      </c>
      <c r="F9" s="176"/>
      <c r="G9" s="175">
        <f>221100/I16*I9</f>
        <v>4024.937833732388</v>
      </c>
      <c r="H9" s="175"/>
      <c r="I9" s="176">
        <v>84886.38</v>
      </c>
      <c r="J9" s="176"/>
    </row>
    <row r="10" spans="1:10" ht="12.75">
      <c r="A10" s="2">
        <v>7</v>
      </c>
      <c r="B10" s="2" t="s">
        <v>44</v>
      </c>
      <c r="C10" s="175">
        <f>G16/I16*E10</f>
        <v>1527.1082335997717</v>
      </c>
      <c r="D10" s="175"/>
      <c r="E10" s="176">
        <v>32206.88</v>
      </c>
      <c r="F10" s="176"/>
      <c r="G10" s="175">
        <f>221100/I16*I10</f>
        <v>4024.937833732388</v>
      </c>
      <c r="H10" s="175"/>
      <c r="I10" s="176">
        <v>84886.38</v>
      </c>
      <c r="J10" s="176"/>
    </row>
    <row r="11" spans="1:10" ht="12.75">
      <c r="A11" s="2">
        <v>8</v>
      </c>
      <c r="B11" s="2" t="s">
        <v>45</v>
      </c>
      <c r="C11" s="175">
        <f>G16/I16*E11</f>
        <v>1527.1082335997717</v>
      </c>
      <c r="D11" s="175"/>
      <c r="E11" s="176">
        <v>32206.88</v>
      </c>
      <c r="F11" s="176"/>
      <c r="G11" s="175">
        <f>221100/I16*I11</f>
        <v>4024.937833732388</v>
      </c>
      <c r="H11" s="175"/>
      <c r="I11" s="176">
        <v>84886.38</v>
      </c>
      <c r="J11" s="176"/>
    </row>
    <row r="12" spans="1:10" ht="12.75">
      <c r="A12" s="2">
        <v>9</v>
      </c>
      <c r="B12" s="2" t="s">
        <v>46</v>
      </c>
      <c r="C12" s="175">
        <f>G16/I16*E12</f>
        <v>3766.1577654203543</v>
      </c>
      <c r="D12" s="175"/>
      <c r="E12" s="176">
        <v>79428.68</v>
      </c>
      <c r="F12" s="176"/>
      <c r="G12" s="175">
        <f>221100/I16*I12</f>
        <v>8416.617242114833</v>
      </c>
      <c r="H12" s="175"/>
      <c r="I12" s="176">
        <v>177507.38</v>
      </c>
      <c r="J12" s="176"/>
    </row>
    <row r="13" spans="1:10" ht="12.75">
      <c r="A13" s="2">
        <v>10</v>
      </c>
      <c r="B13" s="2" t="s">
        <v>47</v>
      </c>
      <c r="C13" s="175">
        <f>G16/I16*E13</f>
        <v>9271.039070718936</v>
      </c>
      <c r="D13" s="175"/>
      <c r="E13" s="176">
        <v>195527.23</v>
      </c>
      <c r="F13" s="176"/>
      <c r="G13" s="175">
        <f>221100/I16*I13</f>
        <v>19398.61565369041</v>
      </c>
      <c r="H13" s="175"/>
      <c r="I13" s="176">
        <v>409118.93</v>
      </c>
      <c r="J13" s="176"/>
    </row>
    <row r="14" spans="1:10" ht="12.75">
      <c r="A14" s="2">
        <v>11</v>
      </c>
      <c r="B14" s="2" t="s">
        <v>48</v>
      </c>
      <c r="C14" s="175">
        <f>G16/I16*E14</f>
        <v>13437.391532360009</v>
      </c>
      <c r="D14" s="175"/>
      <c r="E14" s="176">
        <v>283396.06</v>
      </c>
      <c r="F14" s="176"/>
      <c r="G14" s="175">
        <f>221100/I16*I14</f>
        <v>27710.30788388331</v>
      </c>
      <c r="H14" s="175"/>
      <c r="I14" s="176">
        <v>584413.43</v>
      </c>
      <c r="J14" s="176"/>
    </row>
    <row r="15" spans="1:10" ht="12.75">
      <c r="A15" s="2">
        <v>12</v>
      </c>
      <c r="B15" s="2" t="s">
        <v>49</v>
      </c>
      <c r="C15" s="175">
        <f>G16/I16*E15</f>
        <v>16946.737450630288</v>
      </c>
      <c r="D15" s="175"/>
      <c r="E15" s="176">
        <v>357408.55</v>
      </c>
      <c r="F15" s="176"/>
      <c r="G15" s="175">
        <f>221100/I16*I15</f>
        <v>34711.30042879928</v>
      </c>
      <c r="H15" s="175"/>
      <c r="I15" s="176">
        <v>732065.13</v>
      </c>
      <c r="J15" s="176"/>
    </row>
    <row r="16" spans="1:10" ht="12.75">
      <c r="A16" s="1">
        <v>12</v>
      </c>
      <c r="B16" s="1" t="s">
        <v>50</v>
      </c>
      <c r="C16" s="191">
        <f>C4+C5+C6+C7+C8+C9+C10+C11+C12+C13+C14+C15</f>
        <v>105283.02902792962</v>
      </c>
      <c r="D16" s="191"/>
      <c r="E16" s="191">
        <f>E4+E5+E6+E7+E8+E9+E10+E11+E12+E13+E14+E15</f>
        <v>2220430.6199999996</v>
      </c>
      <c r="F16" s="178"/>
      <c r="G16" s="191">
        <f>G15+G14+G13+G12+G11+G10+G9+G8+G7+G6+G5+G4</f>
        <v>221100.00000000003</v>
      </c>
      <c r="H16" s="191"/>
      <c r="I16" s="191">
        <f>I4+I5+I6+I7+I8+I9+I10+I11+I12+I13+I14+I15</f>
        <v>4663023.2299999995</v>
      </c>
      <c r="J16" s="178"/>
    </row>
  </sheetData>
  <sheetProtection/>
  <mergeCells count="61">
    <mergeCell ref="G10:H10"/>
    <mergeCell ref="C11:D11"/>
    <mergeCell ref="G9:H9"/>
    <mergeCell ref="E11:F11"/>
    <mergeCell ref="A1:J1"/>
    <mergeCell ref="C10:D10"/>
    <mergeCell ref="E10:F10"/>
    <mergeCell ref="I9:J9"/>
    <mergeCell ref="I10:J10"/>
    <mergeCell ref="I8:J8"/>
    <mergeCell ref="I4:J4"/>
    <mergeCell ref="C7:D7"/>
    <mergeCell ref="E7:F7"/>
    <mergeCell ref="A2:A3"/>
    <mergeCell ref="I11:J11"/>
    <mergeCell ref="I7:J7"/>
    <mergeCell ref="C8:D8"/>
    <mergeCell ref="E8:F8"/>
    <mergeCell ref="G8:H8"/>
    <mergeCell ref="G7:H7"/>
    <mergeCell ref="G11:H11"/>
    <mergeCell ref="B2:B3"/>
    <mergeCell ref="E9:F9"/>
    <mergeCell ref="C9:D9"/>
    <mergeCell ref="C4:D4"/>
    <mergeCell ref="E4:F4"/>
    <mergeCell ref="C2:F2"/>
    <mergeCell ref="E6:F6"/>
    <mergeCell ref="C5:D5"/>
    <mergeCell ref="I6:J6"/>
    <mergeCell ref="G2:J2"/>
    <mergeCell ref="C3:D3"/>
    <mergeCell ref="E3:F3"/>
    <mergeCell ref="I5:J5"/>
    <mergeCell ref="G6:H6"/>
    <mergeCell ref="G3:H3"/>
    <mergeCell ref="I3:J3"/>
    <mergeCell ref="G4:H4"/>
    <mergeCell ref="G5:H5"/>
    <mergeCell ref="E5:F5"/>
    <mergeCell ref="C14:D14"/>
    <mergeCell ref="E14:F14"/>
    <mergeCell ref="C13:D13"/>
    <mergeCell ref="E12:F12"/>
    <mergeCell ref="E13:F13"/>
    <mergeCell ref="C12:D12"/>
    <mergeCell ref="C6:D6"/>
    <mergeCell ref="I12:J12"/>
    <mergeCell ref="I13:J13"/>
    <mergeCell ref="G13:H13"/>
    <mergeCell ref="G14:H14"/>
    <mergeCell ref="I14:J14"/>
    <mergeCell ref="G12:H12"/>
    <mergeCell ref="I16:J16"/>
    <mergeCell ref="E15:F15"/>
    <mergeCell ref="G15:H15"/>
    <mergeCell ref="C15:D15"/>
    <mergeCell ref="C16:D16"/>
    <mergeCell ref="E16:F16"/>
    <mergeCell ref="G16:H16"/>
    <mergeCell ref="I15:J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1">
      <selection activeCell="G4" sqref="G4"/>
    </sheetView>
  </sheetViews>
  <sheetFormatPr defaultColWidth="9.00390625" defaultRowHeight="12.75"/>
  <sheetData>
    <row r="1" spans="1:18" ht="18.75">
      <c r="A1" s="194" t="s">
        <v>143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</row>
    <row r="2" spans="1:18" ht="12.75" customHeight="1">
      <c r="A2" s="196" t="s">
        <v>140</v>
      </c>
      <c r="B2" s="196"/>
      <c r="C2" s="196" t="s">
        <v>141</v>
      </c>
      <c r="D2" s="196"/>
      <c r="E2" s="196"/>
      <c r="F2" s="145" t="s">
        <v>142</v>
      </c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6" t="s">
        <v>58</v>
      </c>
    </row>
    <row r="3" spans="1:18" ht="12.75">
      <c r="A3" s="196"/>
      <c r="B3" s="196"/>
      <c r="C3" s="196"/>
      <c r="D3" s="196"/>
      <c r="E3" s="197"/>
      <c r="F3" s="20" t="s">
        <v>46</v>
      </c>
      <c r="G3" s="20" t="s">
        <v>47</v>
      </c>
      <c r="H3" s="20" t="s">
        <v>48</v>
      </c>
      <c r="I3" s="20" t="s">
        <v>49</v>
      </c>
      <c r="J3" s="20" t="s">
        <v>38</v>
      </c>
      <c r="K3" s="20" t="s">
        <v>39</v>
      </c>
      <c r="L3" s="20" t="s">
        <v>40</v>
      </c>
      <c r="M3" s="20" t="s">
        <v>41</v>
      </c>
      <c r="N3" s="20" t="s">
        <v>42</v>
      </c>
      <c r="O3" s="20" t="s">
        <v>43</v>
      </c>
      <c r="P3" s="20" t="s">
        <v>44</v>
      </c>
      <c r="Q3" s="20" t="s">
        <v>45</v>
      </c>
      <c r="R3" s="193"/>
    </row>
    <row r="4" spans="1:18" ht="12.75">
      <c r="A4" s="195" t="s">
        <v>144</v>
      </c>
      <c r="B4" s="195"/>
      <c r="C4" s="115" t="s">
        <v>145</v>
      </c>
      <c r="D4" s="115"/>
      <c r="E4" s="115"/>
      <c r="F4" s="19">
        <f>'График транспортирования'!D22</f>
        <v>7</v>
      </c>
      <c r="G4" s="19">
        <f>'График транспортирования'!E22</f>
        <v>8</v>
      </c>
      <c r="H4" s="19">
        <f>'График транспортирования'!F22</f>
        <v>10</v>
      </c>
      <c r="I4" s="19">
        <f>'График транспортирования'!G22</f>
        <v>15</v>
      </c>
      <c r="J4" s="19">
        <f>'График транспортирования'!H22</f>
        <v>20</v>
      </c>
      <c r="K4" s="19">
        <f>'График транспортирования'!I22</f>
        <v>14</v>
      </c>
      <c r="L4" s="19">
        <f>'График транспортирования'!J22</f>
        <v>8</v>
      </c>
      <c r="M4" s="19">
        <f>'График транспортирования'!K22</f>
        <v>11</v>
      </c>
      <c r="N4" s="19">
        <f>'График транспортирования'!L22</f>
        <v>0</v>
      </c>
      <c r="O4" s="19">
        <f>'График транспортирования'!M22</f>
        <v>1</v>
      </c>
      <c r="P4" s="19">
        <f>'График транспортирования'!N22</f>
        <v>2</v>
      </c>
      <c r="Q4" s="19">
        <f>'График транспортирования'!O22</f>
        <v>4</v>
      </c>
      <c r="R4" s="16">
        <f aca="true" t="shared" si="0" ref="R4:R29">F4+G4+H4+I4+J4+K4+L4+M4+N4+O4+P4+Q4</f>
        <v>100</v>
      </c>
    </row>
    <row r="5" spans="1:18" ht="12.75">
      <c r="A5" s="195"/>
      <c r="B5" s="195"/>
      <c r="C5" s="115" t="s">
        <v>146</v>
      </c>
      <c r="D5" s="115"/>
      <c r="E5" s="115"/>
      <c r="F5" s="13">
        <f>3000*F4</f>
        <v>21000</v>
      </c>
      <c r="G5" s="13">
        <f aca="true" t="shared" si="1" ref="G5:Q5">3000*G4</f>
        <v>24000</v>
      </c>
      <c r="H5" s="13">
        <f t="shared" si="1"/>
        <v>30000</v>
      </c>
      <c r="I5" s="13">
        <f t="shared" si="1"/>
        <v>45000</v>
      </c>
      <c r="J5" s="13">
        <f t="shared" si="1"/>
        <v>60000</v>
      </c>
      <c r="K5" s="13">
        <f t="shared" si="1"/>
        <v>42000</v>
      </c>
      <c r="L5" s="13">
        <f t="shared" si="1"/>
        <v>24000</v>
      </c>
      <c r="M5" s="13">
        <f t="shared" si="1"/>
        <v>33000</v>
      </c>
      <c r="N5" s="13">
        <f t="shared" si="1"/>
        <v>0</v>
      </c>
      <c r="O5" s="13">
        <f t="shared" si="1"/>
        <v>3000</v>
      </c>
      <c r="P5" s="13">
        <f t="shared" si="1"/>
        <v>6000</v>
      </c>
      <c r="Q5" s="13">
        <f t="shared" si="1"/>
        <v>12000</v>
      </c>
      <c r="R5" s="16">
        <f t="shared" si="0"/>
        <v>300000</v>
      </c>
    </row>
    <row r="6" spans="1:18" ht="12.75">
      <c r="A6" s="195" t="s">
        <v>147</v>
      </c>
      <c r="B6" s="195"/>
      <c r="C6" s="115" t="s">
        <v>145</v>
      </c>
      <c r="D6" s="115"/>
      <c r="E6" s="115"/>
      <c r="F6" s="15">
        <f>'График транспортирования'!D30</f>
        <v>12</v>
      </c>
      <c r="G6" s="15">
        <f>'График транспортирования'!E30</f>
        <v>18</v>
      </c>
      <c r="H6" s="15">
        <f>'График транспортирования'!F30</f>
        <v>24</v>
      </c>
      <c r="I6" s="15">
        <f>'График транспортирования'!G30</f>
        <v>30</v>
      </c>
      <c r="J6" s="15">
        <f>'График транспортирования'!H30</f>
        <v>30</v>
      </c>
      <c r="K6" s="15">
        <f>'График транспортирования'!I30</f>
        <v>30</v>
      </c>
      <c r="L6" s="15">
        <f>'График транспортирования'!J30</f>
        <v>22</v>
      </c>
      <c r="M6" s="15">
        <f>'График транспортирования'!K30</f>
        <v>23</v>
      </c>
      <c r="N6" s="15">
        <f>'График транспортирования'!L30</f>
        <v>0</v>
      </c>
      <c r="O6" s="15">
        <f>'График транспортирования'!M30</f>
        <v>4</v>
      </c>
      <c r="P6" s="15">
        <f>'График транспортирования'!N30</f>
        <v>4</v>
      </c>
      <c r="Q6" s="15">
        <f>'График транспортирования'!O30</f>
        <v>10</v>
      </c>
      <c r="R6" s="16">
        <f t="shared" si="0"/>
        <v>207</v>
      </c>
    </row>
    <row r="7" spans="1:18" ht="12.75">
      <c r="A7" s="195"/>
      <c r="B7" s="195"/>
      <c r="C7" s="115" t="s">
        <v>146</v>
      </c>
      <c r="D7" s="115"/>
      <c r="E7" s="115"/>
      <c r="F7" s="13">
        <f aca="true" t="shared" si="2" ref="F7:Q7">3000*F6</f>
        <v>36000</v>
      </c>
      <c r="G7" s="13">
        <f t="shared" si="2"/>
        <v>54000</v>
      </c>
      <c r="H7" s="13">
        <f t="shared" si="2"/>
        <v>72000</v>
      </c>
      <c r="I7" s="13">
        <f t="shared" si="2"/>
        <v>90000</v>
      </c>
      <c r="J7" s="13">
        <f t="shared" si="2"/>
        <v>90000</v>
      </c>
      <c r="K7" s="13">
        <f t="shared" si="2"/>
        <v>90000</v>
      </c>
      <c r="L7" s="13">
        <f t="shared" si="2"/>
        <v>66000</v>
      </c>
      <c r="M7" s="13">
        <f t="shared" si="2"/>
        <v>69000</v>
      </c>
      <c r="N7" s="13">
        <f t="shared" si="2"/>
        <v>0</v>
      </c>
      <c r="O7" s="13">
        <f t="shared" si="2"/>
        <v>12000</v>
      </c>
      <c r="P7" s="13">
        <f t="shared" si="2"/>
        <v>12000</v>
      </c>
      <c r="Q7" s="13">
        <f t="shared" si="2"/>
        <v>30000</v>
      </c>
      <c r="R7" s="16">
        <f t="shared" si="0"/>
        <v>621000</v>
      </c>
    </row>
    <row r="8" spans="1:18" ht="12.75">
      <c r="A8" s="195" t="s">
        <v>148</v>
      </c>
      <c r="B8" s="195"/>
      <c r="C8" s="115" t="s">
        <v>145</v>
      </c>
      <c r="D8" s="115"/>
      <c r="E8" s="115"/>
      <c r="F8" s="15">
        <f>'График транспортирования'!D38</f>
        <v>8</v>
      </c>
      <c r="G8" s="15">
        <f>'График транспортирования'!E38</f>
        <v>18</v>
      </c>
      <c r="H8" s="15">
        <f>'График транспортирования'!F38</f>
        <v>24</v>
      </c>
      <c r="I8" s="15">
        <f>'График транспортирования'!G38</f>
        <v>30</v>
      </c>
      <c r="J8" s="15">
        <f>'График транспортирования'!H38</f>
        <v>30</v>
      </c>
      <c r="K8" s="15">
        <f>'График транспортирования'!I38</f>
        <v>30</v>
      </c>
      <c r="L8" s="15">
        <f>'График транспортирования'!J38</f>
        <v>23</v>
      </c>
      <c r="M8" s="15">
        <f>'График транспортирования'!K38</f>
        <v>23</v>
      </c>
      <c r="N8" s="15">
        <f>'График транспортирования'!L38</f>
        <v>0</v>
      </c>
      <c r="O8" s="15">
        <f>'График транспортирования'!M38</f>
        <v>3</v>
      </c>
      <c r="P8" s="15">
        <f>'График транспортирования'!N38</f>
        <v>4</v>
      </c>
      <c r="Q8" s="15">
        <f>'График транспортирования'!O38</f>
        <v>11</v>
      </c>
      <c r="R8" s="16">
        <f t="shared" si="0"/>
        <v>204</v>
      </c>
    </row>
    <row r="9" spans="1:18" ht="12.75">
      <c r="A9" s="195"/>
      <c r="B9" s="195"/>
      <c r="C9" s="115" t="s">
        <v>146</v>
      </c>
      <c r="D9" s="115"/>
      <c r="E9" s="115"/>
      <c r="F9" s="13">
        <f aca="true" t="shared" si="3" ref="F9:Q9">3000*F8</f>
        <v>24000</v>
      </c>
      <c r="G9" s="13">
        <f t="shared" si="3"/>
        <v>54000</v>
      </c>
      <c r="H9" s="13">
        <f t="shared" si="3"/>
        <v>72000</v>
      </c>
      <c r="I9" s="13">
        <f t="shared" si="3"/>
        <v>90000</v>
      </c>
      <c r="J9" s="13">
        <f t="shared" si="3"/>
        <v>90000</v>
      </c>
      <c r="K9" s="13">
        <f t="shared" si="3"/>
        <v>90000</v>
      </c>
      <c r="L9" s="13">
        <f t="shared" si="3"/>
        <v>69000</v>
      </c>
      <c r="M9" s="13">
        <f t="shared" si="3"/>
        <v>69000</v>
      </c>
      <c r="N9" s="13">
        <f t="shared" si="3"/>
        <v>0</v>
      </c>
      <c r="O9" s="13">
        <f t="shared" si="3"/>
        <v>9000</v>
      </c>
      <c r="P9" s="13">
        <f t="shared" si="3"/>
        <v>12000</v>
      </c>
      <c r="Q9" s="13">
        <f t="shared" si="3"/>
        <v>33000</v>
      </c>
      <c r="R9" s="16">
        <f t="shared" si="0"/>
        <v>612000</v>
      </c>
    </row>
    <row r="10" spans="1:18" ht="12.75">
      <c r="A10" s="195" t="s">
        <v>149</v>
      </c>
      <c r="B10" s="195"/>
      <c r="C10" s="115" t="s">
        <v>145</v>
      </c>
      <c r="D10" s="115"/>
      <c r="E10" s="115"/>
      <c r="F10" s="15">
        <f>'График транспортирования'!D46</f>
        <v>7</v>
      </c>
      <c r="G10" s="15">
        <f>'График транспортирования'!E46</f>
        <v>18</v>
      </c>
      <c r="H10" s="15">
        <f>'График транспортирования'!F46</f>
        <v>24</v>
      </c>
      <c r="I10" s="15">
        <f>'График транспортирования'!G46</f>
        <v>30</v>
      </c>
      <c r="J10" s="15">
        <f>'График транспортирования'!H46</f>
        <v>30</v>
      </c>
      <c r="K10" s="15">
        <f>'График транспортирования'!I46</f>
        <v>30</v>
      </c>
      <c r="L10" s="15">
        <f>'График транспортирования'!J46</f>
        <v>23</v>
      </c>
      <c r="M10" s="15">
        <f>'График транспортирования'!K46</f>
        <v>23</v>
      </c>
      <c r="N10" s="15">
        <f>'График транспортирования'!L46</f>
        <v>0</v>
      </c>
      <c r="O10" s="15">
        <f>'График транспортирования'!M46</f>
        <v>3</v>
      </c>
      <c r="P10" s="15">
        <f>'График транспортирования'!N46</f>
        <v>4</v>
      </c>
      <c r="Q10" s="15">
        <f>'График транспортирования'!O46</f>
        <v>11</v>
      </c>
      <c r="R10" s="16">
        <f t="shared" si="0"/>
        <v>203</v>
      </c>
    </row>
    <row r="11" spans="1:18" ht="12.75">
      <c r="A11" s="195"/>
      <c r="B11" s="195"/>
      <c r="C11" s="115" t="s">
        <v>146</v>
      </c>
      <c r="D11" s="115"/>
      <c r="E11" s="115"/>
      <c r="F11" s="13">
        <f aca="true" t="shared" si="4" ref="F11:Q11">3000*F10</f>
        <v>21000</v>
      </c>
      <c r="G11" s="13">
        <f t="shared" si="4"/>
        <v>54000</v>
      </c>
      <c r="H11" s="13">
        <f t="shared" si="4"/>
        <v>72000</v>
      </c>
      <c r="I11" s="13">
        <f t="shared" si="4"/>
        <v>90000</v>
      </c>
      <c r="J11" s="13">
        <f t="shared" si="4"/>
        <v>90000</v>
      </c>
      <c r="K11" s="13">
        <f t="shared" si="4"/>
        <v>90000</v>
      </c>
      <c r="L11" s="13">
        <f t="shared" si="4"/>
        <v>69000</v>
      </c>
      <c r="M11" s="13">
        <f t="shared" si="4"/>
        <v>69000</v>
      </c>
      <c r="N11" s="13">
        <f t="shared" si="4"/>
        <v>0</v>
      </c>
      <c r="O11" s="13">
        <f t="shared" si="4"/>
        <v>9000</v>
      </c>
      <c r="P11" s="13">
        <f t="shared" si="4"/>
        <v>12000</v>
      </c>
      <c r="Q11" s="13">
        <f t="shared" si="4"/>
        <v>33000</v>
      </c>
      <c r="R11" s="16">
        <f t="shared" si="0"/>
        <v>609000</v>
      </c>
    </row>
    <row r="12" spans="1:18" ht="12.75">
      <c r="A12" s="195" t="s">
        <v>150</v>
      </c>
      <c r="B12" s="195"/>
      <c r="C12" s="115" t="s">
        <v>145</v>
      </c>
      <c r="D12" s="115"/>
      <c r="E12" s="115"/>
      <c r="F12" s="15">
        <f>'График транспортирования'!D54</f>
        <v>8</v>
      </c>
      <c r="G12" s="15">
        <f>'График транспортирования'!E54</f>
        <v>17</v>
      </c>
      <c r="H12" s="15">
        <f>'График транспортирования'!F54</f>
        <v>24</v>
      </c>
      <c r="I12" s="15">
        <f>'График транспортирования'!G54</f>
        <v>30</v>
      </c>
      <c r="J12" s="15">
        <f>'График транспортирования'!H54</f>
        <v>30</v>
      </c>
      <c r="K12" s="15">
        <f>'График транспортирования'!I54</f>
        <v>30</v>
      </c>
      <c r="L12" s="15">
        <f>'График транспортирования'!J54</f>
        <v>23</v>
      </c>
      <c r="M12" s="15">
        <f>'График транспортирования'!K54</f>
        <v>23</v>
      </c>
      <c r="N12" s="15">
        <f>'График транспортирования'!L54</f>
        <v>0</v>
      </c>
      <c r="O12" s="15">
        <f>'График транспортирования'!M54</f>
        <v>4</v>
      </c>
      <c r="P12" s="15">
        <f>'График транспортирования'!N54</f>
        <v>3</v>
      </c>
      <c r="Q12" s="15">
        <f>'График транспортирования'!O54</f>
        <v>11</v>
      </c>
      <c r="R12" s="16">
        <f t="shared" si="0"/>
        <v>203</v>
      </c>
    </row>
    <row r="13" spans="1:18" ht="12.75">
      <c r="A13" s="195"/>
      <c r="B13" s="195"/>
      <c r="C13" s="115" t="s">
        <v>146</v>
      </c>
      <c r="D13" s="115"/>
      <c r="E13" s="115"/>
      <c r="F13" s="13">
        <f aca="true" t="shared" si="5" ref="F13:Q13">3000*F12</f>
        <v>24000</v>
      </c>
      <c r="G13" s="13">
        <f t="shared" si="5"/>
        <v>51000</v>
      </c>
      <c r="H13" s="13">
        <f t="shared" si="5"/>
        <v>72000</v>
      </c>
      <c r="I13" s="13">
        <f t="shared" si="5"/>
        <v>90000</v>
      </c>
      <c r="J13" s="13">
        <f t="shared" si="5"/>
        <v>90000</v>
      </c>
      <c r="K13" s="13">
        <f t="shared" si="5"/>
        <v>90000</v>
      </c>
      <c r="L13" s="13">
        <f t="shared" si="5"/>
        <v>69000</v>
      </c>
      <c r="M13" s="13">
        <f t="shared" si="5"/>
        <v>69000</v>
      </c>
      <c r="N13" s="13">
        <f t="shared" si="5"/>
        <v>0</v>
      </c>
      <c r="O13" s="13">
        <f t="shared" si="5"/>
        <v>12000</v>
      </c>
      <c r="P13" s="13">
        <f t="shared" si="5"/>
        <v>9000</v>
      </c>
      <c r="Q13" s="13">
        <f t="shared" si="5"/>
        <v>33000</v>
      </c>
      <c r="R13" s="16">
        <f t="shared" si="0"/>
        <v>609000</v>
      </c>
    </row>
    <row r="14" spans="1:18" ht="12.75">
      <c r="A14" s="195" t="s">
        <v>151</v>
      </c>
      <c r="B14" s="195"/>
      <c r="C14" s="115" t="s">
        <v>145</v>
      </c>
      <c r="D14" s="115"/>
      <c r="E14" s="115"/>
      <c r="F14" s="15">
        <f>'График транспортирования'!D62</f>
        <v>8</v>
      </c>
      <c r="G14" s="15">
        <f>'График транспортирования'!E62</f>
        <v>18</v>
      </c>
      <c r="H14" s="15">
        <f>'График транспортирования'!F62</f>
        <v>23</v>
      </c>
      <c r="I14" s="15">
        <f>'График транспортирования'!G62</f>
        <v>30</v>
      </c>
      <c r="J14" s="15">
        <f>'График транспортирования'!H62</f>
        <v>30</v>
      </c>
      <c r="K14" s="15">
        <f>'График транспортирования'!I62</f>
        <v>30</v>
      </c>
      <c r="L14" s="15">
        <f>'График транспортирования'!J62</f>
        <v>23</v>
      </c>
      <c r="M14" s="15">
        <f>'График транспортирования'!K62</f>
        <v>23</v>
      </c>
      <c r="N14" s="15">
        <f>'График транспортирования'!L62</f>
        <v>0</v>
      </c>
      <c r="O14" s="15">
        <f>'График транспортирования'!M62</f>
        <v>4</v>
      </c>
      <c r="P14" s="15">
        <f>'График транспортирования'!N62</f>
        <v>3</v>
      </c>
      <c r="Q14" s="15">
        <f>'График транспортирования'!O62</f>
        <v>11</v>
      </c>
      <c r="R14" s="16">
        <f t="shared" si="0"/>
        <v>203</v>
      </c>
    </row>
    <row r="15" spans="1:18" ht="12.75">
      <c r="A15" s="195"/>
      <c r="B15" s="195"/>
      <c r="C15" s="115" t="s">
        <v>146</v>
      </c>
      <c r="D15" s="115"/>
      <c r="E15" s="115"/>
      <c r="F15" s="13">
        <f aca="true" t="shared" si="6" ref="F15:Q15">3000*F14</f>
        <v>24000</v>
      </c>
      <c r="G15" s="13">
        <f t="shared" si="6"/>
        <v>54000</v>
      </c>
      <c r="H15" s="13">
        <f t="shared" si="6"/>
        <v>69000</v>
      </c>
      <c r="I15" s="13">
        <f t="shared" si="6"/>
        <v>90000</v>
      </c>
      <c r="J15" s="13">
        <f t="shared" si="6"/>
        <v>90000</v>
      </c>
      <c r="K15" s="13">
        <f t="shared" si="6"/>
        <v>90000</v>
      </c>
      <c r="L15" s="13">
        <f t="shared" si="6"/>
        <v>69000</v>
      </c>
      <c r="M15" s="13">
        <f t="shared" si="6"/>
        <v>69000</v>
      </c>
      <c r="N15" s="13">
        <f t="shared" si="6"/>
        <v>0</v>
      </c>
      <c r="O15" s="13">
        <f t="shared" si="6"/>
        <v>12000</v>
      </c>
      <c r="P15" s="13">
        <f t="shared" si="6"/>
        <v>9000</v>
      </c>
      <c r="Q15" s="13">
        <f t="shared" si="6"/>
        <v>33000</v>
      </c>
      <c r="R15" s="16">
        <f t="shared" si="0"/>
        <v>609000</v>
      </c>
    </row>
    <row r="16" spans="1:18" ht="12.75">
      <c r="A16" s="195" t="s">
        <v>152</v>
      </c>
      <c r="B16" s="195"/>
      <c r="C16" s="115" t="s">
        <v>145</v>
      </c>
      <c r="D16" s="115"/>
      <c r="E16" s="115"/>
      <c r="F16" s="15">
        <f>'График транспортирования'!D70</f>
        <v>8</v>
      </c>
      <c r="G16" s="15">
        <f>'График транспортирования'!E70</f>
        <v>18</v>
      </c>
      <c r="H16" s="15">
        <f>'График транспортирования'!F70</f>
        <v>24</v>
      </c>
      <c r="I16" s="15">
        <f>'График транспортирования'!G70</f>
        <v>30</v>
      </c>
      <c r="J16" s="15">
        <f>'График транспортирования'!H70</f>
        <v>30</v>
      </c>
      <c r="K16" s="15">
        <f>'График транспортирования'!I70</f>
        <v>30</v>
      </c>
      <c r="L16" s="15">
        <f>'График транспортирования'!J70</f>
        <v>22</v>
      </c>
      <c r="M16" s="15">
        <f>'График транспортирования'!K70</f>
        <v>23</v>
      </c>
      <c r="N16" s="15">
        <f>'График транспортирования'!L70</f>
        <v>0</v>
      </c>
      <c r="O16" s="15">
        <f>'График транспортирования'!M70</f>
        <v>4</v>
      </c>
      <c r="P16" s="15">
        <f>'График транспортирования'!N70</f>
        <v>4</v>
      </c>
      <c r="Q16" s="15">
        <f>'График транспортирования'!O70</f>
        <v>10</v>
      </c>
      <c r="R16" s="16">
        <f t="shared" si="0"/>
        <v>203</v>
      </c>
    </row>
    <row r="17" spans="1:18" ht="12.75">
      <c r="A17" s="195"/>
      <c r="B17" s="195"/>
      <c r="C17" s="115" t="s">
        <v>146</v>
      </c>
      <c r="D17" s="115"/>
      <c r="E17" s="115"/>
      <c r="F17" s="13">
        <f aca="true" t="shared" si="7" ref="F17:Q17">3000*F16</f>
        <v>24000</v>
      </c>
      <c r="G17" s="13">
        <f t="shared" si="7"/>
        <v>54000</v>
      </c>
      <c r="H17" s="13">
        <f t="shared" si="7"/>
        <v>72000</v>
      </c>
      <c r="I17" s="13">
        <f t="shared" si="7"/>
        <v>90000</v>
      </c>
      <c r="J17" s="13">
        <f t="shared" si="7"/>
        <v>90000</v>
      </c>
      <c r="K17" s="13">
        <f t="shared" si="7"/>
        <v>90000</v>
      </c>
      <c r="L17" s="13">
        <f t="shared" si="7"/>
        <v>66000</v>
      </c>
      <c r="M17" s="13">
        <f t="shared" si="7"/>
        <v>69000</v>
      </c>
      <c r="N17" s="13">
        <f t="shared" si="7"/>
        <v>0</v>
      </c>
      <c r="O17" s="13">
        <f t="shared" si="7"/>
        <v>12000</v>
      </c>
      <c r="P17" s="13">
        <f t="shared" si="7"/>
        <v>12000</v>
      </c>
      <c r="Q17" s="13">
        <f t="shared" si="7"/>
        <v>30000</v>
      </c>
      <c r="R17" s="16">
        <f t="shared" si="0"/>
        <v>609000</v>
      </c>
    </row>
    <row r="18" spans="1:18" ht="12.75">
      <c r="A18" s="195" t="s">
        <v>153</v>
      </c>
      <c r="B18" s="195"/>
      <c r="C18" s="115" t="s">
        <v>145</v>
      </c>
      <c r="D18" s="115"/>
      <c r="E18" s="115"/>
      <c r="F18" s="15">
        <f>'График транспортирования'!D78</f>
        <v>8</v>
      </c>
      <c r="G18" s="15">
        <f>'График транспортирования'!E78</f>
        <v>18</v>
      </c>
      <c r="H18" s="15">
        <f>'График транспортирования'!F78</f>
        <v>24</v>
      </c>
      <c r="I18" s="15">
        <f>'График транспортирования'!G78</f>
        <v>30</v>
      </c>
      <c r="J18" s="15">
        <f>'График транспортирования'!H78</f>
        <v>30</v>
      </c>
      <c r="K18" s="15">
        <f>'График транспортирования'!I78</f>
        <v>30</v>
      </c>
      <c r="L18" s="15">
        <f>'График транспортирования'!J78</f>
        <v>22</v>
      </c>
      <c r="M18" s="15">
        <f>'График транспортирования'!K78</f>
        <v>23</v>
      </c>
      <c r="N18" s="15">
        <f>'График транспортирования'!L78</f>
        <v>0</v>
      </c>
      <c r="O18" s="15">
        <f>'График транспортирования'!M78</f>
        <v>4</v>
      </c>
      <c r="P18" s="15">
        <f>'График транспортирования'!N78</f>
        <v>4</v>
      </c>
      <c r="Q18" s="15">
        <f>'График транспортирования'!O78</f>
        <v>11</v>
      </c>
      <c r="R18" s="16">
        <f t="shared" si="0"/>
        <v>204</v>
      </c>
    </row>
    <row r="19" spans="1:18" ht="12.75">
      <c r="A19" s="195"/>
      <c r="B19" s="195"/>
      <c r="C19" s="115" t="s">
        <v>146</v>
      </c>
      <c r="D19" s="115"/>
      <c r="E19" s="115"/>
      <c r="F19" s="13">
        <f aca="true" t="shared" si="8" ref="F19:Q19">3000*F18</f>
        <v>24000</v>
      </c>
      <c r="G19" s="13">
        <f t="shared" si="8"/>
        <v>54000</v>
      </c>
      <c r="H19" s="13">
        <f t="shared" si="8"/>
        <v>72000</v>
      </c>
      <c r="I19" s="13">
        <f t="shared" si="8"/>
        <v>90000</v>
      </c>
      <c r="J19" s="13">
        <f t="shared" si="8"/>
        <v>90000</v>
      </c>
      <c r="K19" s="13">
        <f t="shared" si="8"/>
        <v>90000</v>
      </c>
      <c r="L19" s="13">
        <f t="shared" si="8"/>
        <v>66000</v>
      </c>
      <c r="M19" s="13">
        <f t="shared" si="8"/>
        <v>69000</v>
      </c>
      <c r="N19" s="13">
        <f t="shared" si="8"/>
        <v>0</v>
      </c>
      <c r="O19" s="13">
        <f t="shared" si="8"/>
        <v>12000</v>
      </c>
      <c r="P19" s="13">
        <f t="shared" si="8"/>
        <v>12000</v>
      </c>
      <c r="Q19" s="13">
        <f t="shared" si="8"/>
        <v>33000</v>
      </c>
      <c r="R19" s="16">
        <f t="shared" si="0"/>
        <v>612000</v>
      </c>
    </row>
    <row r="20" spans="1:18" ht="12.75">
      <c r="A20" s="195" t="s">
        <v>154</v>
      </c>
      <c r="B20" s="195"/>
      <c r="C20" s="115" t="s">
        <v>145</v>
      </c>
      <c r="D20" s="115"/>
      <c r="E20" s="115"/>
      <c r="F20" s="15">
        <f>'График транспортирования'!D86</f>
        <v>7</v>
      </c>
      <c r="G20" s="15">
        <f>'График транспортирования'!E86</f>
        <v>18</v>
      </c>
      <c r="H20" s="15">
        <f>'График транспортирования'!F86</f>
        <v>24</v>
      </c>
      <c r="I20" s="15">
        <f>'График транспортирования'!G86</f>
        <v>30</v>
      </c>
      <c r="J20" s="15">
        <f>'График транспортирования'!H86</f>
        <v>30</v>
      </c>
      <c r="K20" s="15">
        <f>'График транспортирования'!I86</f>
        <v>30</v>
      </c>
      <c r="L20" s="15">
        <f>'График транспортирования'!J86</f>
        <v>23</v>
      </c>
      <c r="M20" s="15">
        <f>'График транспортирования'!K86</f>
        <v>23</v>
      </c>
      <c r="N20" s="15">
        <f>'График транспортирования'!L86</f>
        <v>0</v>
      </c>
      <c r="O20" s="15">
        <f>'График транспортирования'!M86</f>
        <v>3</v>
      </c>
      <c r="P20" s="15">
        <f>'График транспортирования'!N86</f>
        <v>4</v>
      </c>
      <c r="Q20" s="15">
        <f>'График транспортирования'!O86</f>
        <v>11</v>
      </c>
      <c r="R20" s="16">
        <f t="shared" si="0"/>
        <v>203</v>
      </c>
    </row>
    <row r="21" spans="1:18" ht="12.75">
      <c r="A21" s="195"/>
      <c r="B21" s="195"/>
      <c r="C21" s="115" t="s">
        <v>146</v>
      </c>
      <c r="D21" s="115"/>
      <c r="E21" s="115"/>
      <c r="F21" s="13">
        <f aca="true" t="shared" si="9" ref="F21:Q21">3000*F20</f>
        <v>21000</v>
      </c>
      <c r="G21" s="13">
        <f t="shared" si="9"/>
        <v>54000</v>
      </c>
      <c r="H21" s="13">
        <f t="shared" si="9"/>
        <v>72000</v>
      </c>
      <c r="I21" s="13">
        <f t="shared" si="9"/>
        <v>90000</v>
      </c>
      <c r="J21" s="13">
        <f t="shared" si="9"/>
        <v>90000</v>
      </c>
      <c r="K21" s="13">
        <f t="shared" si="9"/>
        <v>90000</v>
      </c>
      <c r="L21" s="13">
        <f t="shared" si="9"/>
        <v>69000</v>
      </c>
      <c r="M21" s="13">
        <f t="shared" si="9"/>
        <v>69000</v>
      </c>
      <c r="N21" s="13">
        <f t="shared" si="9"/>
        <v>0</v>
      </c>
      <c r="O21" s="13">
        <f t="shared" si="9"/>
        <v>9000</v>
      </c>
      <c r="P21" s="13">
        <f t="shared" si="9"/>
        <v>12000</v>
      </c>
      <c r="Q21" s="13">
        <f t="shared" si="9"/>
        <v>33000</v>
      </c>
      <c r="R21" s="16">
        <f t="shared" si="0"/>
        <v>609000</v>
      </c>
    </row>
    <row r="22" spans="1:18" ht="12.75">
      <c r="A22" s="195" t="s">
        <v>155</v>
      </c>
      <c r="B22" s="195"/>
      <c r="C22" s="115" t="s">
        <v>145</v>
      </c>
      <c r="D22" s="115"/>
      <c r="E22" s="115"/>
      <c r="F22" s="15">
        <f>'График транспортирования'!D94</f>
        <v>7</v>
      </c>
      <c r="G22" s="15">
        <f>'График транспортирования'!E94</f>
        <v>18</v>
      </c>
      <c r="H22" s="15">
        <f>'График транспортирования'!F94</f>
        <v>24</v>
      </c>
      <c r="I22" s="15">
        <f>'График транспортирования'!G94</f>
        <v>30</v>
      </c>
      <c r="J22" s="15">
        <f>'График транспортирования'!H94</f>
        <v>30</v>
      </c>
      <c r="K22" s="15">
        <f>'График транспортирования'!I94</f>
        <v>30</v>
      </c>
      <c r="L22" s="15">
        <f>'График транспортирования'!J94</f>
        <v>23</v>
      </c>
      <c r="M22" s="15">
        <f>'График транспортирования'!K94</f>
        <v>23</v>
      </c>
      <c r="N22" s="15">
        <f>'График транспортирования'!L94</f>
        <v>0</v>
      </c>
      <c r="O22" s="15">
        <f>'График транспортирования'!M94</f>
        <v>3</v>
      </c>
      <c r="P22" s="15">
        <f>'График транспортирования'!N94</f>
        <v>4</v>
      </c>
      <c r="Q22" s="15">
        <f>'График транспортирования'!O94</f>
        <v>11</v>
      </c>
      <c r="R22" s="16">
        <f t="shared" si="0"/>
        <v>203</v>
      </c>
    </row>
    <row r="23" spans="1:18" ht="12.75">
      <c r="A23" s="195"/>
      <c r="B23" s="195"/>
      <c r="C23" s="115" t="s">
        <v>146</v>
      </c>
      <c r="D23" s="115"/>
      <c r="E23" s="115"/>
      <c r="F23" s="13">
        <f aca="true" t="shared" si="10" ref="F23:Q23">3000*F22</f>
        <v>21000</v>
      </c>
      <c r="G23" s="13">
        <f t="shared" si="10"/>
        <v>54000</v>
      </c>
      <c r="H23" s="13">
        <f t="shared" si="10"/>
        <v>72000</v>
      </c>
      <c r="I23" s="13">
        <f t="shared" si="10"/>
        <v>90000</v>
      </c>
      <c r="J23" s="13">
        <f t="shared" si="10"/>
        <v>90000</v>
      </c>
      <c r="K23" s="13">
        <f t="shared" si="10"/>
        <v>90000</v>
      </c>
      <c r="L23" s="13">
        <f t="shared" si="10"/>
        <v>69000</v>
      </c>
      <c r="M23" s="13">
        <f t="shared" si="10"/>
        <v>69000</v>
      </c>
      <c r="N23" s="13">
        <f t="shared" si="10"/>
        <v>0</v>
      </c>
      <c r="O23" s="13">
        <f t="shared" si="10"/>
        <v>9000</v>
      </c>
      <c r="P23" s="13">
        <f t="shared" si="10"/>
        <v>12000</v>
      </c>
      <c r="Q23" s="13">
        <f t="shared" si="10"/>
        <v>33000</v>
      </c>
      <c r="R23" s="16">
        <f t="shared" si="0"/>
        <v>609000</v>
      </c>
    </row>
    <row r="24" spans="1:18" ht="12.75">
      <c r="A24" s="195" t="s">
        <v>156</v>
      </c>
      <c r="B24" s="195"/>
      <c r="C24" s="115" t="s">
        <v>145</v>
      </c>
      <c r="D24" s="115"/>
      <c r="E24" s="115"/>
      <c r="F24" s="15">
        <f>'График транспортирования'!D102</f>
        <v>8</v>
      </c>
      <c r="G24" s="15">
        <f>'График транспортирования'!E102</f>
        <v>17</v>
      </c>
      <c r="H24" s="15">
        <f>'График транспортирования'!F102</f>
        <v>24</v>
      </c>
      <c r="I24" s="15">
        <f>'График транспортирования'!G102</f>
        <v>30</v>
      </c>
      <c r="J24" s="15">
        <f>'График транспортирования'!H102</f>
        <v>30</v>
      </c>
      <c r="K24" s="15">
        <f>'График транспортирования'!I102</f>
        <v>30</v>
      </c>
      <c r="L24" s="15">
        <f>'График транспортирования'!J102</f>
        <v>23</v>
      </c>
      <c r="M24" s="15">
        <f>'График транспортирования'!K102</f>
        <v>23</v>
      </c>
      <c r="N24" s="15">
        <f>'График транспортирования'!L102</f>
        <v>0</v>
      </c>
      <c r="O24" s="15">
        <f>'График транспортирования'!M102</f>
        <v>4</v>
      </c>
      <c r="P24" s="15">
        <f>'График транспортирования'!N102</f>
        <v>3</v>
      </c>
      <c r="Q24" s="15">
        <f>'График транспортирования'!O102</f>
        <v>11</v>
      </c>
      <c r="R24" s="16">
        <f t="shared" si="0"/>
        <v>203</v>
      </c>
    </row>
    <row r="25" spans="1:18" ht="12.75">
      <c r="A25" s="195"/>
      <c r="B25" s="195"/>
      <c r="C25" s="115" t="s">
        <v>146</v>
      </c>
      <c r="D25" s="115"/>
      <c r="E25" s="115"/>
      <c r="F25" s="13">
        <f aca="true" t="shared" si="11" ref="F25:Q25">3000*F24</f>
        <v>24000</v>
      </c>
      <c r="G25" s="13">
        <f t="shared" si="11"/>
        <v>51000</v>
      </c>
      <c r="H25" s="13">
        <f t="shared" si="11"/>
        <v>72000</v>
      </c>
      <c r="I25" s="13">
        <f t="shared" si="11"/>
        <v>90000</v>
      </c>
      <c r="J25" s="13">
        <f t="shared" si="11"/>
        <v>90000</v>
      </c>
      <c r="K25" s="13">
        <f t="shared" si="11"/>
        <v>90000</v>
      </c>
      <c r="L25" s="13">
        <f t="shared" si="11"/>
        <v>69000</v>
      </c>
      <c r="M25" s="13">
        <f t="shared" si="11"/>
        <v>69000</v>
      </c>
      <c r="N25" s="13">
        <f t="shared" si="11"/>
        <v>0</v>
      </c>
      <c r="O25" s="13">
        <f t="shared" si="11"/>
        <v>12000</v>
      </c>
      <c r="P25" s="13">
        <f t="shared" si="11"/>
        <v>9000</v>
      </c>
      <c r="Q25" s="13">
        <f t="shared" si="11"/>
        <v>33000</v>
      </c>
      <c r="R25" s="16">
        <f t="shared" si="0"/>
        <v>609000</v>
      </c>
    </row>
    <row r="26" spans="1:18" ht="12.75">
      <c r="A26" s="195" t="s">
        <v>157</v>
      </c>
      <c r="B26" s="195"/>
      <c r="C26" s="115" t="s">
        <v>145</v>
      </c>
      <c r="D26" s="115"/>
      <c r="E26" s="115"/>
      <c r="F26" s="15">
        <f>'График транспортирования'!D110</f>
        <v>8</v>
      </c>
      <c r="G26" s="15">
        <f>'График транспортирования'!E110</f>
        <v>18</v>
      </c>
      <c r="H26" s="15">
        <f>'График транспортирования'!F110</f>
        <v>23</v>
      </c>
      <c r="I26" s="15">
        <f>'График транспортирования'!G110</f>
        <v>30</v>
      </c>
      <c r="J26" s="15">
        <f>'График транспортирования'!H110</f>
        <v>30</v>
      </c>
      <c r="K26" s="15">
        <f>'График транспортирования'!I110</f>
        <v>30</v>
      </c>
      <c r="L26" s="15">
        <f>'График транспортирования'!J110</f>
        <v>23</v>
      </c>
      <c r="M26" s="15">
        <f>'График транспортирования'!K110</f>
        <v>23</v>
      </c>
      <c r="N26" s="15">
        <f>'График транспортирования'!L110</f>
        <v>0</v>
      </c>
      <c r="O26" s="15">
        <f>'График транспортирования'!M110</f>
        <v>4</v>
      </c>
      <c r="P26" s="15">
        <f>'График транспортирования'!N110</f>
        <v>4</v>
      </c>
      <c r="Q26" s="15">
        <f>'График транспортирования'!O110</f>
        <v>10</v>
      </c>
      <c r="R26" s="16">
        <f t="shared" si="0"/>
        <v>203</v>
      </c>
    </row>
    <row r="27" spans="1:18" ht="12.75">
      <c r="A27" s="195"/>
      <c r="B27" s="195"/>
      <c r="C27" s="115" t="s">
        <v>146</v>
      </c>
      <c r="D27" s="115"/>
      <c r="E27" s="115"/>
      <c r="F27" s="13">
        <f aca="true" t="shared" si="12" ref="F27:Q27">3000*F26</f>
        <v>24000</v>
      </c>
      <c r="G27" s="13">
        <f t="shared" si="12"/>
        <v>54000</v>
      </c>
      <c r="H27" s="13">
        <f t="shared" si="12"/>
        <v>69000</v>
      </c>
      <c r="I27" s="13">
        <f t="shared" si="12"/>
        <v>90000</v>
      </c>
      <c r="J27" s="13">
        <f t="shared" si="12"/>
        <v>90000</v>
      </c>
      <c r="K27" s="13">
        <f t="shared" si="12"/>
        <v>90000</v>
      </c>
      <c r="L27" s="13">
        <f t="shared" si="12"/>
        <v>69000</v>
      </c>
      <c r="M27" s="13">
        <f t="shared" si="12"/>
        <v>69000</v>
      </c>
      <c r="N27" s="13">
        <f t="shared" si="12"/>
        <v>0</v>
      </c>
      <c r="O27" s="13">
        <f t="shared" si="12"/>
        <v>12000</v>
      </c>
      <c r="P27" s="13">
        <f t="shared" si="12"/>
        <v>12000</v>
      </c>
      <c r="Q27" s="13">
        <f t="shared" si="12"/>
        <v>30000</v>
      </c>
      <c r="R27" s="16">
        <f t="shared" si="0"/>
        <v>609000</v>
      </c>
    </row>
    <row r="28" spans="1:18" ht="12.75">
      <c r="A28" s="195" t="s">
        <v>158</v>
      </c>
      <c r="B28" s="195"/>
      <c r="C28" s="115" t="s">
        <v>145</v>
      </c>
      <c r="D28" s="115"/>
      <c r="E28" s="115"/>
      <c r="F28" s="15">
        <f>'График транспортирования'!D118</f>
        <v>8</v>
      </c>
      <c r="G28" s="15">
        <f>'График транспортирования'!E118</f>
        <v>18</v>
      </c>
      <c r="H28" s="15">
        <f>'График транспортирования'!F118</f>
        <v>24</v>
      </c>
      <c r="I28" s="15">
        <f>'График транспортирования'!G118</f>
        <v>30</v>
      </c>
      <c r="J28" s="15">
        <f>'График транспортирования'!H118</f>
        <v>30</v>
      </c>
      <c r="K28" s="15">
        <f>'График транспортирования'!I118</f>
        <v>30</v>
      </c>
      <c r="L28" s="15">
        <f>'График транспортирования'!J118</f>
        <v>22</v>
      </c>
      <c r="M28" s="15">
        <f>'График транспортирования'!K118</f>
        <v>23</v>
      </c>
      <c r="N28" s="15">
        <f>'График транспортирования'!L118</f>
        <v>0</v>
      </c>
      <c r="O28" s="15">
        <f>'График транспортирования'!M118</f>
        <v>4</v>
      </c>
      <c r="P28" s="15">
        <f>'График транспортирования'!N118</f>
        <v>4</v>
      </c>
      <c r="Q28" s="15">
        <f>'График транспортирования'!O118</f>
        <v>10</v>
      </c>
      <c r="R28" s="16">
        <f t="shared" si="0"/>
        <v>203</v>
      </c>
    </row>
    <row r="29" spans="1:18" ht="12.75">
      <c r="A29" s="195"/>
      <c r="B29" s="195"/>
      <c r="C29" s="115" t="s">
        <v>146</v>
      </c>
      <c r="D29" s="115"/>
      <c r="E29" s="115"/>
      <c r="F29" s="13">
        <f aca="true" t="shared" si="13" ref="F29:Q29">3000*F28</f>
        <v>24000</v>
      </c>
      <c r="G29" s="13">
        <f t="shared" si="13"/>
        <v>54000</v>
      </c>
      <c r="H29" s="13">
        <f t="shared" si="13"/>
        <v>72000</v>
      </c>
      <c r="I29" s="13">
        <f t="shared" si="13"/>
        <v>90000</v>
      </c>
      <c r="J29" s="13">
        <f t="shared" si="13"/>
        <v>90000</v>
      </c>
      <c r="K29" s="13">
        <f t="shared" si="13"/>
        <v>90000</v>
      </c>
      <c r="L29" s="13">
        <f t="shared" si="13"/>
        <v>66000</v>
      </c>
      <c r="M29" s="13">
        <f t="shared" si="13"/>
        <v>69000</v>
      </c>
      <c r="N29" s="13">
        <f t="shared" si="13"/>
        <v>0</v>
      </c>
      <c r="O29" s="13">
        <f t="shared" si="13"/>
        <v>12000</v>
      </c>
      <c r="P29" s="13">
        <f t="shared" si="13"/>
        <v>12000</v>
      </c>
      <c r="Q29" s="13">
        <f t="shared" si="13"/>
        <v>30000</v>
      </c>
      <c r="R29" s="16">
        <f t="shared" si="0"/>
        <v>609000</v>
      </c>
    </row>
  </sheetData>
  <sheetProtection/>
  <mergeCells count="44">
    <mergeCell ref="A28:B29"/>
    <mergeCell ref="C28:E28"/>
    <mergeCell ref="C29:E29"/>
    <mergeCell ref="A24:B25"/>
    <mergeCell ref="C24:E24"/>
    <mergeCell ref="C25:E25"/>
    <mergeCell ref="A26:B27"/>
    <mergeCell ref="C26:E26"/>
    <mergeCell ref="C27:E27"/>
    <mergeCell ref="A20:B21"/>
    <mergeCell ref="C20:E20"/>
    <mergeCell ref="C21:E21"/>
    <mergeCell ref="A22:B23"/>
    <mergeCell ref="C22:E22"/>
    <mergeCell ref="C23:E23"/>
    <mergeCell ref="A16:B17"/>
    <mergeCell ref="C16:E16"/>
    <mergeCell ref="C17:E17"/>
    <mergeCell ref="A18:B19"/>
    <mergeCell ref="C18:E18"/>
    <mergeCell ref="C19:E19"/>
    <mergeCell ref="A12:B13"/>
    <mergeCell ref="C12:E12"/>
    <mergeCell ref="C13:E13"/>
    <mergeCell ref="A14:B15"/>
    <mergeCell ref="C14:E14"/>
    <mergeCell ref="C15:E15"/>
    <mergeCell ref="A10:B11"/>
    <mergeCell ref="C10:E10"/>
    <mergeCell ref="C11:E11"/>
    <mergeCell ref="A2:B3"/>
    <mergeCell ref="C2:E3"/>
    <mergeCell ref="C5:E5"/>
    <mergeCell ref="A6:B7"/>
    <mergeCell ref="C6:E6"/>
    <mergeCell ref="C7:E7"/>
    <mergeCell ref="F2:Q2"/>
    <mergeCell ref="R2:R3"/>
    <mergeCell ref="A1:R1"/>
    <mergeCell ref="A8:B9"/>
    <mergeCell ref="C8:E8"/>
    <mergeCell ref="C9:E9"/>
    <mergeCell ref="A4:B5"/>
    <mergeCell ref="C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C1">
      <selection activeCell="S5" sqref="S5:T5"/>
    </sheetView>
  </sheetViews>
  <sheetFormatPr defaultColWidth="9.00390625" defaultRowHeight="12.75"/>
  <cols>
    <col min="7" max="7" width="9.875" style="0" bestFit="1" customWidth="1"/>
    <col min="8" max="9" width="10.875" style="0" bestFit="1" customWidth="1"/>
    <col min="10" max="10" width="10.00390625" style="0" bestFit="1" customWidth="1"/>
    <col min="11" max="11" width="10.875" style="0" bestFit="1" customWidth="1"/>
    <col min="12" max="18" width="10.00390625" style="0" bestFit="1" customWidth="1"/>
  </cols>
  <sheetData>
    <row r="1" spans="1:20" ht="18.75">
      <c r="A1" s="194" t="s">
        <v>161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</row>
    <row r="2" spans="1:20" ht="12.75">
      <c r="A2" s="196" t="s">
        <v>140</v>
      </c>
      <c r="B2" s="196"/>
      <c r="C2" s="198" t="s">
        <v>162</v>
      </c>
      <c r="D2" s="199"/>
      <c r="E2" s="199"/>
      <c r="F2" s="200"/>
      <c r="G2" s="115" t="s">
        <v>142</v>
      </c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46" t="s">
        <v>58</v>
      </c>
      <c r="T2" s="146"/>
    </row>
    <row r="3" spans="1:20" ht="12.75">
      <c r="A3" s="196"/>
      <c r="B3" s="196"/>
      <c r="C3" s="201"/>
      <c r="D3" s="202"/>
      <c r="E3" s="202"/>
      <c r="F3" s="203"/>
      <c r="G3" s="13" t="s">
        <v>46</v>
      </c>
      <c r="H3" s="13" t="s">
        <v>47</v>
      </c>
      <c r="I3" s="13" t="s">
        <v>48</v>
      </c>
      <c r="J3" s="13" t="s">
        <v>49</v>
      </c>
      <c r="K3" s="13" t="s">
        <v>38</v>
      </c>
      <c r="L3" s="13" t="s">
        <v>39</v>
      </c>
      <c r="M3" s="13" t="s">
        <v>40</v>
      </c>
      <c r="N3" s="13" t="s">
        <v>41</v>
      </c>
      <c r="O3" s="13" t="s">
        <v>42</v>
      </c>
      <c r="P3" s="13" t="s">
        <v>43</v>
      </c>
      <c r="Q3" s="13" t="s">
        <v>44</v>
      </c>
      <c r="R3" s="13" t="s">
        <v>45</v>
      </c>
      <c r="S3" s="146"/>
      <c r="T3" s="146"/>
    </row>
    <row r="4" spans="1:20" ht="12.75">
      <c r="A4" s="195" t="s">
        <v>144</v>
      </c>
      <c r="B4" s="195"/>
      <c r="C4" s="115" t="s">
        <v>204</v>
      </c>
      <c r="D4" s="115"/>
      <c r="E4" s="115"/>
      <c r="F4" s="115"/>
      <c r="G4" s="13">
        <v>16102</v>
      </c>
      <c r="H4" s="13">
        <v>17617</v>
      </c>
      <c r="I4" s="13">
        <v>22595</v>
      </c>
      <c r="J4" s="13">
        <v>21369</v>
      </c>
      <c r="K4" s="13">
        <v>12193</v>
      </c>
      <c r="L4" s="13">
        <v>15244</v>
      </c>
      <c r="M4" s="13">
        <v>19243</v>
      </c>
      <c r="N4" s="13">
        <v>19051</v>
      </c>
      <c r="O4" s="13">
        <v>19271</v>
      </c>
      <c r="P4" s="13">
        <v>18796</v>
      </c>
      <c r="Q4" s="13">
        <v>17196</v>
      </c>
      <c r="R4" s="13">
        <v>14011</v>
      </c>
      <c r="S4" s="114">
        <f>S6/S5</f>
        <v>17.30148</v>
      </c>
      <c r="T4" s="114"/>
    </row>
    <row r="5" spans="1:20" ht="12.75">
      <c r="A5" s="195"/>
      <c r="B5" s="195"/>
      <c r="C5" s="115" t="s">
        <v>159</v>
      </c>
      <c r="D5" s="115"/>
      <c r="E5" s="115"/>
      <c r="F5" s="115"/>
      <c r="G5" s="15">
        <f>'График транспортирования'!D21</f>
        <v>160650</v>
      </c>
      <c r="H5" s="15">
        <f>'График транспортирования'!E21</f>
        <v>183600</v>
      </c>
      <c r="I5" s="15">
        <f>'График транспортирования'!F21</f>
        <v>229500</v>
      </c>
      <c r="J5" s="15">
        <f>'График транспортирования'!G21</f>
        <v>344250</v>
      </c>
      <c r="K5" s="15">
        <f>'График транспортирования'!H21</f>
        <v>459000</v>
      </c>
      <c r="L5" s="15">
        <f>'График транспортирования'!I21</f>
        <v>321300</v>
      </c>
      <c r="M5" s="15">
        <f>22950*'График транспортирования'!J22</f>
        <v>183600</v>
      </c>
      <c r="N5" s="15">
        <f>'График транспортирования'!K21</f>
        <v>252450</v>
      </c>
      <c r="O5" s="15">
        <f>'График транспортирования'!L21</f>
        <v>0</v>
      </c>
      <c r="P5" s="15">
        <f>'График транспортирования'!M21</f>
        <v>22950</v>
      </c>
      <c r="Q5" s="15">
        <f>'График транспортирования'!N21</f>
        <v>45900</v>
      </c>
      <c r="R5" s="15">
        <f>'График транспортирования'!O21</f>
        <v>91800</v>
      </c>
      <c r="S5" s="204">
        <f>G5+H5+I5+J5+K5+L5+M5+N5+O5+P5+Q5+R5</f>
        <v>2295000</v>
      </c>
      <c r="T5" s="204"/>
    </row>
    <row r="6" spans="1:20" ht="12.75">
      <c r="A6" s="195"/>
      <c r="B6" s="195"/>
      <c r="C6" s="115" t="s">
        <v>160</v>
      </c>
      <c r="D6" s="115"/>
      <c r="E6" s="115"/>
      <c r="F6" s="115"/>
      <c r="G6" s="8">
        <f aca="true" t="shared" si="0" ref="G6:R6">G5*G4/1000</f>
        <v>2586786.3</v>
      </c>
      <c r="H6" s="8">
        <f t="shared" si="0"/>
        <v>3234481.2</v>
      </c>
      <c r="I6" s="8">
        <f t="shared" si="0"/>
        <v>5185552.5</v>
      </c>
      <c r="J6" s="8">
        <f t="shared" si="0"/>
        <v>7356278.25</v>
      </c>
      <c r="K6" s="8">
        <f t="shared" si="0"/>
        <v>5596587</v>
      </c>
      <c r="L6" s="8">
        <f t="shared" si="0"/>
        <v>4897897.2</v>
      </c>
      <c r="M6" s="8">
        <f t="shared" si="0"/>
        <v>3533014.8</v>
      </c>
      <c r="N6" s="8">
        <f t="shared" si="0"/>
        <v>4809424.95</v>
      </c>
      <c r="O6" s="8">
        <f t="shared" si="0"/>
        <v>0</v>
      </c>
      <c r="P6" s="8">
        <f t="shared" si="0"/>
        <v>431368.2</v>
      </c>
      <c r="Q6" s="8">
        <f t="shared" si="0"/>
        <v>789296.4</v>
      </c>
      <c r="R6" s="8">
        <f t="shared" si="0"/>
        <v>1286209.8</v>
      </c>
      <c r="S6" s="114">
        <f>R6+Q6+P6+O6+N6+M6+L6+K6+J6+I6+H6+G6</f>
        <v>39706896.6</v>
      </c>
      <c r="T6" s="126"/>
    </row>
    <row r="7" spans="1:20" ht="12.75">
      <c r="A7" s="195" t="s">
        <v>147</v>
      </c>
      <c r="B7" s="195"/>
      <c r="C7" s="115" t="s">
        <v>204</v>
      </c>
      <c r="D7" s="115"/>
      <c r="E7" s="115"/>
      <c r="F7" s="115"/>
      <c r="G7" s="13">
        <f aca="true" t="shared" si="1" ref="G7:R7">G4</f>
        <v>16102</v>
      </c>
      <c r="H7" s="13">
        <f t="shared" si="1"/>
        <v>17617</v>
      </c>
      <c r="I7" s="13">
        <f t="shared" si="1"/>
        <v>22595</v>
      </c>
      <c r="J7" s="13">
        <f t="shared" si="1"/>
        <v>21369</v>
      </c>
      <c r="K7" s="13">
        <f t="shared" si="1"/>
        <v>12193</v>
      </c>
      <c r="L7" s="13">
        <f t="shared" si="1"/>
        <v>15244</v>
      </c>
      <c r="M7" s="13">
        <f t="shared" si="1"/>
        <v>19243</v>
      </c>
      <c r="N7" s="13">
        <f t="shared" si="1"/>
        <v>19051</v>
      </c>
      <c r="O7" s="13">
        <f t="shared" si="1"/>
        <v>19271</v>
      </c>
      <c r="P7" s="13">
        <f t="shared" si="1"/>
        <v>18796</v>
      </c>
      <c r="Q7" s="13">
        <f t="shared" si="1"/>
        <v>17196</v>
      </c>
      <c r="R7" s="13">
        <f t="shared" si="1"/>
        <v>14011</v>
      </c>
      <c r="S7" s="114">
        <f>S9/S8</f>
        <v>17.69269082125604</v>
      </c>
      <c r="T7" s="114"/>
    </row>
    <row r="8" spans="1:20" ht="12.75">
      <c r="A8" s="195"/>
      <c r="B8" s="195"/>
      <c r="C8" s="115" t="s">
        <v>159</v>
      </c>
      <c r="D8" s="115"/>
      <c r="E8" s="115"/>
      <c r="F8" s="115"/>
      <c r="G8" s="15">
        <f>22950*'График транспортирования'!D30</f>
        <v>275400</v>
      </c>
      <c r="H8" s="15">
        <f>22950*'График транспортирования'!E30</f>
        <v>413100</v>
      </c>
      <c r="I8" s="15">
        <f>22950*'График транспортирования'!F30</f>
        <v>550800</v>
      </c>
      <c r="J8" s="15">
        <f>22950*'График транспортирования'!G30</f>
        <v>688500</v>
      </c>
      <c r="K8" s="15">
        <f>22950*'График транспортирования'!H30</f>
        <v>688500</v>
      </c>
      <c r="L8" s="15">
        <f>22950*'График транспортирования'!I30</f>
        <v>688500</v>
      </c>
      <c r="M8" s="15">
        <f>22950*'График транспортирования'!J30</f>
        <v>504900</v>
      </c>
      <c r="N8" s="15">
        <f>22950*'График транспортирования'!K30</f>
        <v>527850</v>
      </c>
      <c r="O8" s="15">
        <f>22950*'График транспортирования'!L30</f>
        <v>0</v>
      </c>
      <c r="P8" s="15">
        <f>22950*'График транспортирования'!M30</f>
        <v>91800</v>
      </c>
      <c r="Q8" s="15">
        <f>22950*'График транспортирования'!N30</f>
        <v>91800</v>
      </c>
      <c r="R8" s="15">
        <f>22950*'График транспортирования'!O30</f>
        <v>229500</v>
      </c>
      <c r="S8" s="204">
        <f>G8+H8+I8+J8+K8+L8+M8+N8+O8+P8+Q8+R8</f>
        <v>4750650</v>
      </c>
      <c r="T8" s="204"/>
    </row>
    <row r="9" spans="1:20" ht="12.75">
      <c r="A9" s="195"/>
      <c r="B9" s="195"/>
      <c r="C9" s="115" t="s">
        <v>160</v>
      </c>
      <c r="D9" s="115"/>
      <c r="E9" s="115"/>
      <c r="F9" s="115"/>
      <c r="G9" s="8">
        <f aca="true" t="shared" si="2" ref="G9:R9">G8*G7/1000</f>
        <v>4434490.8</v>
      </c>
      <c r="H9" s="8">
        <f t="shared" si="2"/>
        <v>7277582.7</v>
      </c>
      <c r="I9" s="8">
        <f t="shared" si="2"/>
        <v>12445326</v>
      </c>
      <c r="J9" s="8">
        <f t="shared" si="2"/>
        <v>14712556.5</v>
      </c>
      <c r="K9" s="8">
        <f t="shared" si="2"/>
        <v>8394880.5</v>
      </c>
      <c r="L9" s="8">
        <f t="shared" si="2"/>
        <v>10495494</v>
      </c>
      <c r="M9" s="8">
        <f t="shared" si="2"/>
        <v>9715790.7</v>
      </c>
      <c r="N9" s="8">
        <f t="shared" si="2"/>
        <v>10056070.35</v>
      </c>
      <c r="O9" s="8">
        <f t="shared" si="2"/>
        <v>0</v>
      </c>
      <c r="P9" s="8">
        <f t="shared" si="2"/>
        <v>1725472.8</v>
      </c>
      <c r="Q9" s="8">
        <f t="shared" si="2"/>
        <v>1578592.8</v>
      </c>
      <c r="R9" s="8">
        <f t="shared" si="2"/>
        <v>3215524.5</v>
      </c>
      <c r="S9" s="114">
        <f>R9+Q9+P9+O9+N9+M9+L9+K9+J9+I9+H9+G9</f>
        <v>84051781.65</v>
      </c>
      <c r="T9" s="114"/>
    </row>
    <row r="10" spans="1:20" ht="12.75">
      <c r="A10" s="195" t="s">
        <v>148</v>
      </c>
      <c r="B10" s="195"/>
      <c r="C10" s="115" t="s">
        <v>204</v>
      </c>
      <c r="D10" s="115"/>
      <c r="E10" s="115"/>
      <c r="F10" s="115"/>
      <c r="G10" s="13">
        <f aca="true" t="shared" si="3" ref="G10:R10">G4</f>
        <v>16102</v>
      </c>
      <c r="H10" s="13">
        <f t="shared" si="3"/>
        <v>17617</v>
      </c>
      <c r="I10" s="13">
        <f t="shared" si="3"/>
        <v>22595</v>
      </c>
      <c r="J10" s="13">
        <f t="shared" si="3"/>
        <v>21369</v>
      </c>
      <c r="K10" s="13">
        <f t="shared" si="3"/>
        <v>12193</v>
      </c>
      <c r="L10" s="13">
        <f t="shared" si="3"/>
        <v>15244</v>
      </c>
      <c r="M10" s="13">
        <f t="shared" si="3"/>
        <v>19243</v>
      </c>
      <c r="N10" s="13">
        <f t="shared" si="3"/>
        <v>19051</v>
      </c>
      <c r="O10" s="13">
        <f t="shared" si="3"/>
        <v>19271</v>
      </c>
      <c r="P10" s="13">
        <f t="shared" si="3"/>
        <v>18796</v>
      </c>
      <c r="Q10" s="13">
        <f t="shared" si="3"/>
        <v>17196</v>
      </c>
      <c r="R10" s="13">
        <f t="shared" si="3"/>
        <v>14011</v>
      </c>
      <c r="S10" s="114">
        <f>S12/S11</f>
        <v>17.708024509803924</v>
      </c>
      <c r="T10" s="114"/>
    </row>
    <row r="11" spans="1:20" ht="12.75">
      <c r="A11" s="195"/>
      <c r="B11" s="195"/>
      <c r="C11" s="115" t="s">
        <v>159</v>
      </c>
      <c r="D11" s="115"/>
      <c r="E11" s="115"/>
      <c r="F11" s="115"/>
      <c r="G11" s="15">
        <f>22950*'График транспортирования'!D38</f>
        <v>183600</v>
      </c>
      <c r="H11" s="15">
        <f>22950*'График транспортирования'!E38</f>
        <v>413100</v>
      </c>
      <c r="I11" s="15">
        <f>22950*'График транспортирования'!F38</f>
        <v>550800</v>
      </c>
      <c r="J11" s="15">
        <f>22950*'График транспортирования'!G38</f>
        <v>688500</v>
      </c>
      <c r="K11" s="15">
        <f>22950*'График транспортирования'!H38</f>
        <v>688500</v>
      </c>
      <c r="L11" s="15">
        <f>22950*'График транспортирования'!I38</f>
        <v>688500</v>
      </c>
      <c r="M11" s="15">
        <f>22950*'График транспортирования'!J38</f>
        <v>527850</v>
      </c>
      <c r="N11" s="15">
        <f>22950*'График транспортирования'!K38</f>
        <v>527850</v>
      </c>
      <c r="O11" s="15">
        <f>22950*'График транспортирования'!L38</f>
        <v>0</v>
      </c>
      <c r="P11" s="15">
        <f>22950*'График транспортирования'!M38</f>
        <v>68850</v>
      </c>
      <c r="Q11" s="15">
        <f>22950*'График транспортирования'!N38</f>
        <v>91800</v>
      </c>
      <c r="R11" s="15">
        <f>22950*'График транспортирования'!O38</f>
        <v>252450</v>
      </c>
      <c r="S11" s="204">
        <f>G11+H11+I11+J11+K11+L11+M11+N11+O11+P11+Q11+R11</f>
        <v>4681800</v>
      </c>
      <c r="T11" s="204"/>
    </row>
    <row r="12" spans="1:20" ht="12.75">
      <c r="A12" s="195"/>
      <c r="B12" s="195"/>
      <c r="C12" s="115" t="s">
        <v>160</v>
      </c>
      <c r="D12" s="115"/>
      <c r="E12" s="115"/>
      <c r="F12" s="115"/>
      <c r="G12" s="8">
        <f aca="true" t="shared" si="4" ref="G12:R12">G11*G10/1000</f>
        <v>2956327.2</v>
      </c>
      <c r="H12" s="8">
        <f t="shared" si="4"/>
        <v>7277582.7</v>
      </c>
      <c r="I12" s="8">
        <f t="shared" si="4"/>
        <v>12445326</v>
      </c>
      <c r="J12" s="8">
        <f t="shared" si="4"/>
        <v>14712556.5</v>
      </c>
      <c r="K12" s="8">
        <f t="shared" si="4"/>
        <v>8394880.5</v>
      </c>
      <c r="L12" s="8">
        <f t="shared" si="4"/>
        <v>10495494</v>
      </c>
      <c r="M12" s="8">
        <f t="shared" si="4"/>
        <v>10157417.55</v>
      </c>
      <c r="N12" s="8">
        <f t="shared" si="4"/>
        <v>10056070.35</v>
      </c>
      <c r="O12" s="8">
        <f t="shared" si="4"/>
        <v>0</v>
      </c>
      <c r="P12" s="8">
        <f t="shared" si="4"/>
        <v>1294104.6</v>
      </c>
      <c r="Q12" s="8">
        <f t="shared" si="4"/>
        <v>1578592.8</v>
      </c>
      <c r="R12" s="8">
        <f t="shared" si="4"/>
        <v>3537076.95</v>
      </c>
      <c r="S12" s="114">
        <f>R12+Q12+P12+O12+N12+M12+L12+K12+J12+I12+H12+G12</f>
        <v>82905429.15</v>
      </c>
      <c r="T12" s="114"/>
    </row>
    <row r="13" spans="1:20" ht="12.75">
      <c r="A13" s="195" t="s">
        <v>149</v>
      </c>
      <c r="B13" s="195"/>
      <c r="C13" s="115" t="s">
        <v>204</v>
      </c>
      <c r="D13" s="115"/>
      <c r="E13" s="115"/>
      <c r="F13" s="115"/>
      <c r="G13" s="13">
        <f aca="true" t="shared" si="5" ref="G13:R13">G4</f>
        <v>16102</v>
      </c>
      <c r="H13" s="13">
        <f t="shared" si="5"/>
        <v>17617</v>
      </c>
      <c r="I13" s="13">
        <f t="shared" si="5"/>
        <v>22595</v>
      </c>
      <c r="J13" s="13">
        <f t="shared" si="5"/>
        <v>21369</v>
      </c>
      <c r="K13" s="13">
        <f t="shared" si="5"/>
        <v>12193</v>
      </c>
      <c r="L13" s="13">
        <f t="shared" si="5"/>
        <v>15244</v>
      </c>
      <c r="M13" s="13">
        <f t="shared" si="5"/>
        <v>19243</v>
      </c>
      <c r="N13" s="13">
        <f t="shared" si="5"/>
        <v>19051</v>
      </c>
      <c r="O13" s="13">
        <f t="shared" si="5"/>
        <v>19271</v>
      </c>
      <c r="P13" s="13">
        <f t="shared" si="5"/>
        <v>18796</v>
      </c>
      <c r="Q13" s="13">
        <f t="shared" si="5"/>
        <v>17196</v>
      </c>
      <c r="R13" s="13">
        <f t="shared" si="5"/>
        <v>14011</v>
      </c>
      <c r="S13" s="114">
        <f>S15/S14</f>
        <v>17.715935960591132</v>
      </c>
      <c r="T13" s="114"/>
    </row>
    <row r="14" spans="1:20" ht="12.75">
      <c r="A14" s="195"/>
      <c r="B14" s="195"/>
      <c r="C14" s="115" t="s">
        <v>159</v>
      </c>
      <c r="D14" s="115"/>
      <c r="E14" s="115"/>
      <c r="F14" s="115"/>
      <c r="G14" s="15">
        <f>22950*'График транспортирования'!D46</f>
        <v>160650</v>
      </c>
      <c r="H14" s="15">
        <f>22950*'График транспортирования'!E46</f>
        <v>413100</v>
      </c>
      <c r="I14" s="15">
        <f>22950*'График транспортирования'!F46</f>
        <v>550800</v>
      </c>
      <c r="J14" s="15">
        <f>22950*'График транспортирования'!G46</f>
        <v>688500</v>
      </c>
      <c r="K14" s="15">
        <f>22950*'График транспортирования'!H46</f>
        <v>688500</v>
      </c>
      <c r="L14" s="15">
        <f>22950*'График транспортирования'!I46</f>
        <v>688500</v>
      </c>
      <c r="M14" s="15">
        <f>22950*'График транспортирования'!J46</f>
        <v>527850</v>
      </c>
      <c r="N14" s="15">
        <f>22950*'График транспортирования'!K46</f>
        <v>527850</v>
      </c>
      <c r="O14" s="15">
        <f>22950*'График транспортирования'!L46</f>
        <v>0</v>
      </c>
      <c r="P14" s="15">
        <f>22950*'График транспортирования'!M46</f>
        <v>68850</v>
      </c>
      <c r="Q14" s="15">
        <f>22950*'График транспортирования'!N46</f>
        <v>91800</v>
      </c>
      <c r="R14" s="15">
        <f>22950*'График транспортирования'!O46</f>
        <v>252450</v>
      </c>
      <c r="S14" s="204">
        <f>G14+H14+I14+J14+K14+L14+M14+N14+O14+P14+Q14+R14</f>
        <v>4658850</v>
      </c>
      <c r="T14" s="204"/>
    </row>
    <row r="15" spans="1:20" ht="12.75">
      <c r="A15" s="195"/>
      <c r="B15" s="195"/>
      <c r="C15" s="115" t="s">
        <v>160</v>
      </c>
      <c r="D15" s="115"/>
      <c r="E15" s="115"/>
      <c r="F15" s="115"/>
      <c r="G15" s="8">
        <f aca="true" t="shared" si="6" ref="G15:R15">G14*G13/1000</f>
        <v>2586786.3</v>
      </c>
      <c r="H15" s="8">
        <f t="shared" si="6"/>
        <v>7277582.7</v>
      </c>
      <c r="I15" s="8">
        <f t="shared" si="6"/>
        <v>12445326</v>
      </c>
      <c r="J15" s="8">
        <f t="shared" si="6"/>
        <v>14712556.5</v>
      </c>
      <c r="K15" s="8">
        <f t="shared" si="6"/>
        <v>8394880.5</v>
      </c>
      <c r="L15" s="8">
        <f t="shared" si="6"/>
        <v>10495494</v>
      </c>
      <c r="M15" s="8">
        <f t="shared" si="6"/>
        <v>10157417.55</v>
      </c>
      <c r="N15" s="8">
        <f t="shared" si="6"/>
        <v>10056070.35</v>
      </c>
      <c r="O15" s="8">
        <f t="shared" si="6"/>
        <v>0</v>
      </c>
      <c r="P15" s="8">
        <f t="shared" si="6"/>
        <v>1294104.6</v>
      </c>
      <c r="Q15" s="8">
        <f t="shared" si="6"/>
        <v>1578592.8</v>
      </c>
      <c r="R15" s="8">
        <f t="shared" si="6"/>
        <v>3537076.95</v>
      </c>
      <c r="S15" s="114">
        <f>R15+Q15+P15+O15+N15+M15+L15+K15+J15+I15+H15+G15</f>
        <v>82535888.25</v>
      </c>
      <c r="T15" s="114"/>
    </row>
    <row r="16" spans="1:20" ht="12.75">
      <c r="A16" s="195" t="s">
        <v>150</v>
      </c>
      <c r="B16" s="195"/>
      <c r="C16" s="115" t="s">
        <v>204</v>
      </c>
      <c r="D16" s="115"/>
      <c r="E16" s="115"/>
      <c r="F16" s="115"/>
      <c r="G16" s="13">
        <f aca="true" t="shared" si="7" ref="G16:R16">G4</f>
        <v>16102</v>
      </c>
      <c r="H16" s="13">
        <f t="shared" si="7"/>
        <v>17617</v>
      </c>
      <c r="I16" s="13">
        <f t="shared" si="7"/>
        <v>22595</v>
      </c>
      <c r="J16" s="13">
        <f t="shared" si="7"/>
        <v>21369</v>
      </c>
      <c r="K16" s="13">
        <f t="shared" si="7"/>
        <v>12193</v>
      </c>
      <c r="L16" s="13">
        <f t="shared" si="7"/>
        <v>15244</v>
      </c>
      <c r="M16" s="13">
        <f t="shared" si="7"/>
        <v>19243</v>
      </c>
      <c r="N16" s="13">
        <f t="shared" si="7"/>
        <v>19051</v>
      </c>
      <c r="O16" s="13">
        <f t="shared" si="7"/>
        <v>19271</v>
      </c>
      <c r="P16" s="13">
        <f t="shared" si="7"/>
        <v>18796</v>
      </c>
      <c r="Q16" s="13">
        <f t="shared" si="7"/>
        <v>17196</v>
      </c>
      <c r="R16" s="13">
        <f t="shared" si="7"/>
        <v>14011</v>
      </c>
      <c r="S16" s="114">
        <f>S18/S17</f>
        <v>17.716354679802954</v>
      </c>
      <c r="T16" s="114"/>
    </row>
    <row r="17" spans="1:20" ht="12.75">
      <c r="A17" s="195"/>
      <c r="B17" s="195"/>
      <c r="C17" s="115" t="s">
        <v>159</v>
      </c>
      <c r="D17" s="115"/>
      <c r="E17" s="115"/>
      <c r="F17" s="115"/>
      <c r="G17" s="15">
        <f>22950*'График транспортирования'!D54</f>
        <v>183600</v>
      </c>
      <c r="H17" s="15">
        <f>22950*'График транспортирования'!E54</f>
        <v>390150</v>
      </c>
      <c r="I17" s="15">
        <f>22950*'График транспортирования'!F54</f>
        <v>550800</v>
      </c>
      <c r="J17" s="15">
        <f>22950*'График транспортирования'!G54</f>
        <v>688500</v>
      </c>
      <c r="K17" s="15">
        <f>22950*'График транспортирования'!H54</f>
        <v>688500</v>
      </c>
      <c r="L17" s="15">
        <f>22950*'График транспортирования'!I54</f>
        <v>688500</v>
      </c>
      <c r="M17" s="15">
        <f>22950*'График транспортирования'!J54</f>
        <v>527850</v>
      </c>
      <c r="N17" s="15">
        <f>22950*'График транспортирования'!K54</f>
        <v>527850</v>
      </c>
      <c r="O17" s="15">
        <f>22950*'График транспортирования'!L54</f>
        <v>0</v>
      </c>
      <c r="P17" s="15">
        <f>22950*'График транспортирования'!M54</f>
        <v>91800</v>
      </c>
      <c r="Q17" s="15">
        <f>22950*'График транспортирования'!N54</f>
        <v>68850</v>
      </c>
      <c r="R17" s="15">
        <f>22950*'График транспортирования'!O54</f>
        <v>252450</v>
      </c>
      <c r="S17" s="204">
        <f>G17+H17+I17+J17+K17+L17+M17+N17+O17+P17+Q17+R17</f>
        <v>4658850</v>
      </c>
      <c r="T17" s="204"/>
    </row>
    <row r="18" spans="1:20" ht="12.75">
      <c r="A18" s="195"/>
      <c r="B18" s="195"/>
      <c r="C18" s="115" t="s">
        <v>160</v>
      </c>
      <c r="D18" s="115"/>
      <c r="E18" s="115"/>
      <c r="F18" s="115"/>
      <c r="G18" s="8">
        <f aca="true" t="shared" si="8" ref="G18:R18">G17*G16/1000</f>
        <v>2956327.2</v>
      </c>
      <c r="H18" s="8">
        <f t="shared" si="8"/>
        <v>6873272.55</v>
      </c>
      <c r="I18" s="8">
        <f t="shared" si="8"/>
        <v>12445326</v>
      </c>
      <c r="J18" s="8">
        <f t="shared" si="8"/>
        <v>14712556.5</v>
      </c>
      <c r="K18" s="8">
        <f t="shared" si="8"/>
        <v>8394880.5</v>
      </c>
      <c r="L18" s="8">
        <f t="shared" si="8"/>
        <v>10495494</v>
      </c>
      <c r="M18" s="8">
        <f t="shared" si="8"/>
        <v>10157417.55</v>
      </c>
      <c r="N18" s="8">
        <f t="shared" si="8"/>
        <v>10056070.35</v>
      </c>
      <c r="O18" s="8">
        <f t="shared" si="8"/>
        <v>0</v>
      </c>
      <c r="P18" s="8">
        <f t="shared" si="8"/>
        <v>1725472.8</v>
      </c>
      <c r="Q18" s="8">
        <f t="shared" si="8"/>
        <v>1183944.6</v>
      </c>
      <c r="R18" s="8">
        <f t="shared" si="8"/>
        <v>3537076.95</v>
      </c>
      <c r="S18" s="114">
        <f>R18+Q18+P18+O18+N18+M18+L18+K18+J18+I18+H18+G18</f>
        <v>82537839</v>
      </c>
      <c r="T18" s="114"/>
    </row>
    <row r="19" spans="1:20" ht="12.75">
      <c r="A19" s="195" t="s">
        <v>151</v>
      </c>
      <c r="B19" s="195"/>
      <c r="C19" s="115" t="s">
        <v>204</v>
      </c>
      <c r="D19" s="115"/>
      <c r="E19" s="115"/>
      <c r="F19" s="115"/>
      <c r="G19" s="13">
        <f aca="true" t="shared" si="9" ref="G19:R19">G4</f>
        <v>16102</v>
      </c>
      <c r="H19" s="13">
        <f t="shared" si="9"/>
        <v>17617</v>
      </c>
      <c r="I19" s="13">
        <f t="shared" si="9"/>
        <v>22595</v>
      </c>
      <c r="J19" s="13">
        <f t="shared" si="9"/>
        <v>21369</v>
      </c>
      <c r="K19" s="13">
        <f t="shared" si="9"/>
        <v>12193</v>
      </c>
      <c r="L19" s="13">
        <f t="shared" si="9"/>
        <v>15244</v>
      </c>
      <c r="M19" s="13">
        <f t="shared" si="9"/>
        <v>19243</v>
      </c>
      <c r="N19" s="13">
        <f t="shared" si="9"/>
        <v>19051</v>
      </c>
      <c r="O19" s="13">
        <f t="shared" si="9"/>
        <v>19271</v>
      </c>
      <c r="P19" s="13">
        <f t="shared" si="9"/>
        <v>18796</v>
      </c>
      <c r="Q19" s="13">
        <f t="shared" si="9"/>
        <v>17196</v>
      </c>
      <c r="R19" s="13">
        <f t="shared" si="9"/>
        <v>14011</v>
      </c>
      <c r="S19" s="114">
        <f>S21/S20</f>
        <v>17.691832512315273</v>
      </c>
      <c r="T19" s="114"/>
    </row>
    <row r="20" spans="1:20" ht="12.75">
      <c r="A20" s="195"/>
      <c r="B20" s="195"/>
      <c r="C20" s="115" t="s">
        <v>159</v>
      </c>
      <c r="D20" s="115"/>
      <c r="E20" s="115"/>
      <c r="F20" s="115"/>
      <c r="G20" s="15">
        <f>22950*'График транспортирования'!D62</f>
        <v>183600</v>
      </c>
      <c r="H20" s="15">
        <f>22950*'График транспортирования'!E62</f>
        <v>413100</v>
      </c>
      <c r="I20" s="15">
        <f>22950*'График транспортирования'!F62</f>
        <v>527850</v>
      </c>
      <c r="J20" s="15">
        <f>22950*'График транспортирования'!G62</f>
        <v>688500</v>
      </c>
      <c r="K20" s="15">
        <f>22950*'График транспортирования'!H62</f>
        <v>688500</v>
      </c>
      <c r="L20" s="15">
        <f>22950*'График транспортирования'!I62</f>
        <v>688500</v>
      </c>
      <c r="M20" s="15">
        <f>22950*'График транспортирования'!J62</f>
        <v>527850</v>
      </c>
      <c r="N20" s="15">
        <f>22950*'График транспортирования'!K62</f>
        <v>527850</v>
      </c>
      <c r="O20" s="15">
        <f>22950*'График транспортирования'!L62</f>
        <v>0</v>
      </c>
      <c r="P20" s="15">
        <f>22950*'График транспортирования'!M62</f>
        <v>91800</v>
      </c>
      <c r="Q20" s="15">
        <f>22950*'График транспортирования'!N62</f>
        <v>68850</v>
      </c>
      <c r="R20" s="15">
        <f>22950*'График транспортирования'!O62</f>
        <v>252450</v>
      </c>
      <c r="S20" s="204">
        <f>G20+H20+I20+J20+K20+L20+M20+N20+O20+P20+Q20+R20</f>
        <v>4658850</v>
      </c>
      <c r="T20" s="204"/>
    </row>
    <row r="21" spans="1:20" ht="12.75">
      <c r="A21" s="195"/>
      <c r="B21" s="195"/>
      <c r="C21" s="115" t="s">
        <v>160</v>
      </c>
      <c r="D21" s="115"/>
      <c r="E21" s="115"/>
      <c r="F21" s="115"/>
      <c r="G21" s="8">
        <f aca="true" t="shared" si="10" ref="G21:R21">G20*G19/1000</f>
        <v>2956327.2</v>
      </c>
      <c r="H21" s="8">
        <f t="shared" si="10"/>
        <v>7277582.7</v>
      </c>
      <c r="I21" s="8">
        <f t="shared" si="10"/>
        <v>11926770.75</v>
      </c>
      <c r="J21" s="8">
        <f t="shared" si="10"/>
        <v>14712556.5</v>
      </c>
      <c r="K21" s="8">
        <f t="shared" si="10"/>
        <v>8394880.5</v>
      </c>
      <c r="L21" s="8">
        <f t="shared" si="10"/>
        <v>10495494</v>
      </c>
      <c r="M21" s="8">
        <f t="shared" si="10"/>
        <v>10157417.55</v>
      </c>
      <c r="N21" s="8">
        <f t="shared" si="10"/>
        <v>10056070.35</v>
      </c>
      <c r="O21" s="8">
        <f t="shared" si="10"/>
        <v>0</v>
      </c>
      <c r="P21" s="8">
        <f t="shared" si="10"/>
        <v>1725472.8</v>
      </c>
      <c r="Q21" s="8">
        <f t="shared" si="10"/>
        <v>1183944.6</v>
      </c>
      <c r="R21" s="8">
        <f t="shared" si="10"/>
        <v>3537076.95</v>
      </c>
      <c r="S21" s="114">
        <f>R21+Q21+P21+O21+N21+M21+L21+K21+J21+I21+H21+G21</f>
        <v>82423593.9</v>
      </c>
      <c r="T21" s="114"/>
    </row>
    <row r="22" spans="1:20" ht="12.75">
      <c r="A22" s="195" t="s">
        <v>152</v>
      </c>
      <c r="B22" s="195"/>
      <c r="C22" s="115" t="s">
        <v>204</v>
      </c>
      <c r="D22" s="115"/>
      <c r="E22" s="115"/>
      <c r="F22" s="115"/>
      <c r="G22" s="13">
        <f aca="true" t="shared" si="11" ref="G22:R22">G4</f>
        <v>16102</v>
      </c>
      <c r="H22" s="13">
        <f t="shared" si="11"/>
        <v>17617</v>
      </c>
      <c r="I22" s="13">
        <f t="shared" si="11"/>
        <v>22595</v>
      </c>
      <c r="J22" s="13">
        <f t="shared" si="11"/>
        <v>21369</v>
      </c>
      <c r="K22" s="13">
        <f t="shared" si="11"/>
        <v>12193</v>
      </c>
      <c r="L22" s="13">
        <f t="shared" si="11"/>
        <v>15244</v>
      </c>
      <c r="M22" s="13">
        <f t="shared" si="11"/>
        <v>19243</v>
      </c>
      <c r="N22" s="13">
        <f t="shared" si="11"/>
        <v>19051</v>
      </c>
      <c r="O22" s="13">
        <f t="shared" si="11"/>
        <v>19271</v>
      </c>
      <c r="P22" s="13">
        <f t="shared" si="11"/>
        <v>18796</v>
      </c>
      <c r="Q22" s="13">
        <f t="shared" si="11"/>
        <v>17196</v>
      </c>
      <c r="R22" s="13">
        <f t="shared" si="11"/>
        <v>14011</v>
      </c>
      <c r="S22" s="114">
        <f>S24/S23</f>
        <v>17.724034482758622</v>
      </c>
      <c r="T22" s="114"/>
    </row>
    <row r="23" spans="1:20" ht="12.75">
      <c r="A23" s="195"/>
      <c r="B23" s="195"/>
      <c r="C23" s="115" t="s">
        <v>159</v>
      </c>
      <c r="D23" s="115"/>
      <c r="E23" s="115"/>
      <c r="F23" s="115"/>
      <c r="G23" s="15">
        <f>22950*'График транспортирования'!D70</f>
        <v>183600</v>
      </c>
      <c r="H23" s="15">
        <f>22950*'График транспортирования'!E70</f>
        <v>413100</v>
      </c>
      <c r="I23" s="15">
        <f>22950*'График транспортирования'!F70</f>
        <v>550800</v>
      </c>
      <c r="J23" s="15">
        <f>22950*'График транспортирования'!G70</f>
        <v>688500</v>
      </c>
      <c r="K23" s="15">
        <f>22950*'График транспортирования'!H70</f>
        <v>688500</v>
      </c>
      <c r="L23" s="15">
        <f>22950*'График транспортирования'!I70</f>
        <v>688500</v>
      </c>
      <c r="M23" s="15">
        <f>22950*'График транспортирования'!J70</f>
        <v>504900</v>
      </c>
      <c r="N23" s="15">
        <f>22950*'График транспортирования'!K70</f>
        <v>527850</v>
      </c>
      <c r="O23" s="15">
        <f>22950*'График транспортирования'!L70</f>
        <v>0</v>
      </c>
      <c r="P23" s="15">
        <f>22950*'График транспортирования'!M70</f>
        <v>91800</v>
      </c>
      <c r="Q23" s="15">
        <f>22950*'График транспортирования'!N70</f>
        <v>91800</v>
      </c>
      <c r="R23" s="15">
        <f>22950*'График транспортирования'!O70</f>
        <v>229500</v>
      </c>
      <c r="S23" s="204">
        <f>G23+H23+I23+J23+K23+L23+M23+N23+O23+P23+Q23+R23</f>
        <v>4658850</v>
      </c>
      <c r="T23" s="204"/>
    </row>
    <row r="24" spans="1:20" ht="12.75">
      <c r="A24" s="195"/>
      <c r="B24" s="195"/>
      <c r="C24" s="115" t="s">
        <v>160</v>
      </c>
      <c r="D24" s="115"/>
      <c r="E24" s="115"/>
      <c r="F24" s="115"/>
      <c r="G24" s="8">
        <f aca="true" t="shared" si="12" ref="G24:R24">G23*G22/1000</f>
        <v>2956327.2</v>
      </c>
      <c r="H24" s="8">
        <f t="shared" si="12"/>
        <v>7277582.7</v>
      </c>
      <c r="I24" s="8">
        <f t="shared" si="12"/>
        <v>12445326</v>
      </c>
      <c r="J24" s="8">
        <f t="shared" si="12"/>
        <v>14712556.5</v>
      </c>
      <c r="K24" s="8">
        <f t="shared" si="12"/>
        <v>8394880.5</v>
      </c>
      <c r="L24" s="8">
        <f t="shared" si="12"/>
        <v>10495494</v>
      </c>
      <c r="M24" s="8">
        <f t="shared" si="12"/>
        <v>9715790.7</v>
      </c>
      <c r="N24" s="8">
        <f t="shared" si="12"/>
        <v>10056070.35</v>
      </c>
      <c r="O24" s="8">
        <f t="shared" si="12"/>
        <v>0</v>
      </c>
      <c r="P24" s="8">
        <f t="shared" si="12"/>
        <v>1725472.8</v>
      </c>
      <c r="Q24" s="8">
        <f t="shared" si="12"/>
        <v>1578592.8</v>
      </c>
      <c r="R24" s="8">
        <f t="shared" si="12"/>
        <v>3215524.5</v>
      </c>
      <c r="S24" s="114">
        <f>R24+Q24+P24+O24+N24+M24+L24+K24+J24+I24+H24+G24</f>
        <v>82573618.05000001</v>
      </c>
      <c r="T24" s="114"/>
    </row>
    <row r="25" spans="1:20" ht="12.75">
      <c r="A25" s="195" t="s">
        <v>153</v>
      </c>
      <c r="B25" s="195"/>
      <c r="C25" s="115" t="s">
        <v>204</v>
      </c>
      <c r="D25" s="115"/>
      <c r="E25" s="115"/>
      <c r="F25" s="115"/>
      <c r="G25" s="13">
        <f aca="true" t="shared" si="13" ref="G25:R25">G4</f>
        <v>16102</v>
      </c>
      <c r="H25" s="13">
        <f t="shared" si="13"/>
        <v>17617</v>
      </c>
      <c r="I25" s="13">
        <f t="shared" si="13"/>
        <v>22595</v>
      </c>
      <c r="J25" s="13">
        <f t="shared" si="13"/>
        <v>21369</v>
      </c>
      <c r="K25" s="13">
        <f t="shared" si="13"/>
        <v>12193</v>
      </c>
      <c r="L25" s="13">
        <f t="shared" si="13"/>
        <v>15244</v>
      </c>
      <c r="M25" s="13">
        <f t="shared" si="13"/>
        <v>19243</v>
      </c>
      <c r="N25" s="13">
        <f t="shared" si="13"/>
        <v>19051</v>
      </c>
      <c r="O25" s="13">
        <f t="shared" si="13"/>
        <v>19271</v>
      </c>
      <c r="P25" s="13">
        <f t="shared" si="13"/>
        <v>18796</v>
      </c>
      <c r="Q25" s="13">
        <f t="shared" si="13"/>
        <v>17196</v>
      </c>
      <c r="R25" s="13">
        <f t="shared" si="13"/>
        <v>14011</v>
      </c>
      <c r="S25" s="114">
        <f>S27/S26</f>
        <v>17.705833333333334</v>
      </c>
      <c r="T25" s="114"/>
    </row>
    <row r="26" spans="1:20" ht="12.75">
      <c r="A26" s="195"/>
      <c r="B26" s="195"/>
      <c r="C26" s="115" t="s">
        <v>159</v>
      </c>
      <c r="D26" s="115"/>
      <c r="E26" s="115"/>
      <c r="F26" s="115"/>
      <c r="G26" s="15">
        <f>22950*'График транспортирования'!D78</f>
        <v>183600</v>
      </c>
      <c r="H26" s="15">
        <f>22950*'График транспортирования'!E78</f>
        <v>413100</v>
      </c>
      <c r="I26" s="15">
        <f>22950*'График транспортирования'!F78</f>
        <v>550800</v>
      </c>
      <c r="J26" s="15">
        <f>22950*'График транспортирования'!G78</f>
        <v>688500</v>
      </c>
      <c r="K26" s="15">
        <f>22950*'График транспортирования'!H78</f>
        <v>688500</v>
      </c>
      <c r="L26" s="15">
        <f>22950*'График транспортирования'!I78</f>
        <v>688500</v>
      </c>
      <c r="M26" s="15">
        <f>22950*'График транспортирования'!J78</f>
        <v>504900</v>
      </c>
      <c r="N26" s="15">
        <f>22950*'График транспортирования'!K78</f>
        <v>527850</v>
      </c>
      <c r="O26" s="15">
        <f>22950*'График транспортирования'!L78</f>
        <v>0</v>
      </c>
      <c r="P26" s="15">
        <f>22950*'График транспортирования'!M78</f>
        <v>91800</v>
      </c>
      <c r="Q26" s="15">
        <f>22950*'График транспортирования'!N78</f>
        <v>91800</v>
      </c>
      <c r="R26" s="15">
        <f>22950*'График транспортирования'!O78</f>
        <v>252450</v>
      </c>
      <c r="S26" s="204">
        <f>G26+H26+I26+J26+K26+L26+M26+N26+O26+P26+Q26+R26</f>
        <v>4681800</v>
      </c>
      <c r="T26" s="204"/>
    </row>
    <row r="27" spans="1:20" ht="12.75">
      <c r="A27" s="195"/>
      <c r="B27" s="195"/>
      <c r="C27" s="115" t="s">
        <v>160</v>
      </c>
      <c r="D27" s="115"/>
      <c r="E27" s="115"/>
      <c r="F27" s="115"/>
      <c r="G27" s="8">
        <f aca="true" t="shared" si="14" ref="G27:R27">G26*G25/1000</f>
        <v>2956327.2</v>
      </c>
      <c r="H27" s="8">
        <f t="shared" si="14"/>
        <v>7277582.7</v>
      </c>
      <c r="I27" s="8">
        <f t="shared" si="14"/>
        <v>12445326</v>
      </c>
      <c r="J27" s="8">
        <f t="shared" si="14"/>
        <v>14712556.5</v>
      </c>
      <c r="K27" s="8">
        <f t="shared" si="14"/>
        <v>8394880.5</v>
      </c>
      <c r="L27" s="8">
        <f t="shared" si="14"/>
        <v>10495494</v>
      </c>
      <c r="M27" s="8">
        <f t="shared" si="14"/>
        <v>9715790.7</v>
      </c>
      <c r="N27" s="8">
        <f t="shared" si="14"/>
        <v>10056070.35</v>
      </c>
      <c r="O27" s="8">
        <f t="shared" si="14"/>
        <v>0</v>
      </c>
      <c r="P27" s="8">
        <f t="shared" si="14"/>
        <v>1725472.8</v>
      </c>
      <c r="Q27" s="8">
        <f t="shared" si="14"/>
        <v>1578592.8</v>
      </c>
      <c r="R27" s="8">
        <f t="shared" si="14"/>
        <v>3537076.95</v>
      </c>
      <c r="S27" s="114">
        <f>R27+Q27+P27+O27+N27+M27+L27+K27+J27+I27+H27+G27</f>
        <v>82895170.5</v>
      </c>
      <c r="T27" s="114"/>
    </row>
    <row r="28" spans="1:20" ht="12.75">
      <c r="A28" s="195" t="s">
        <v>154</v>
      </c>
      <c r="B28" s="195"/>
      <c r="C28" s="115" t="s">
        <v>204</v>
      </c>
      <c r="D28" s="115"/>
      <c r="E28" s="115"/>
      <c r="F28" s="115"/>
      <c r="G28" s="13">
        <f aca="true" t="shared" si="15" ref="G28:R28">G4</f>
        <v>16102</v>
      </c>
      <c r="H28" s="13">
        <f t="shared" si="15"/>
        <v>17617</v>
      </c>
      <c r="I28" s="13">
        <f t="shared" si="15"/>
        <v>22595</v>
      </c>
      <c r="J28" s="13">
        <f t="shared" si="15"/>
        <v>21369</v>
      </c>
      <c r="K28" s="13">
        <f t="shared" si="15"/>
        <v>12193</v>
      </c>
      <c r="L28" s="13">
        <f t="shared" si="15"/>
        <v>15244</v>
      </c>
      <c r="M28" s="13">
        <f t="shared" si="15"/>
        <v>19243</v>
      </c>
      <c r="N28" s="13">
        <f t="shared" si="15"/>
        <v>19051</v>
      </c>
      <c r="O28" s="13">
        <f t="shared" si="15"/>
        <v>19271</v>
      </c>
      <c r="P28" s="13">
        <f t="shared" si="15"/>
        <v>18796</v>
      </c>
      <c r="Q28" s="13">
        <f t="shared" si="15"/>
        <v>17196</v>
      </c>
      <c r="R28" s="13">
        <f t="shared" si="15"/>
        <v>14011</v>
      </c>
      <c r="S28" s="114">
        <f>S30/S29</f>
        <v>17.715935960591132</v>
      </c>
      <c r="T28" s="114"/>
    </row>
    <row r="29" spans="1:20" ht="12.75">
      <c r="A29" s="195"/>
      <c r="B29" s="195"/>
      <c r="C29" s="115" t="s">
        <v>159</v>
      </c>
      <c r="D29" s="115"/>
      <c r="E29" s="115"/>
      <c r="F29" s="115"/>
      <c r="G29" s="15">
        <f>22950*'График транспортирования'!D86</f>
        <v>160650</v>
      </c>
      <c r="H29" s="15">
        <f>22950*'График транспортирования'!E86</f>
        <v>413100</v>
      </c>
      <c r="I29" s="15">
        <f>22950*'График транспортирования'!F86</f>
        <v>550800</v>
      </c>
      <c r="J29" s="15">
        <f>22950*'График транспортирования'!G86</f>
        <v>688500</v>
      </c>
      <c r="K29" s="15">
        <f>22950*'График транспортирования'!H86</f>
        <v>688500</v>
      </c>
      <c r="L29" s="15">
        <f>22950*'График транспортирования'!I86</f>
        <v>688500</v>
      </c>
      <c r="M29" s="15">
        <f>22950*'График транспортирования'!J86</f>
        <v>527850</v>
      </c>
      <c r="N29" s="15">
        <f>22950*'График транспортирования'!K86</f>
        <v>527850</v>
      </c>
      <c r="O29" s="15">
        <f>22950*'График транспортирования'!L86</f>
        <v>0</v>
      </c>
      <c r="P29" s="15">
        <f>22950*'График транспортирования'!M86</f>
        <v>68850</v>
      </c>
      <c r="Q29" s="15">
        <f>22950*'График транспортирования'!N86</f>
        <v>91800</v>
      </c>
      <c r="R29" s="15">
        <f>22950*'График транспортирования'!O86</f>
        <v>252450</v>
      </c>
      <c r="S29" s="204">
        <f>G29+H29+I29+J29+K29+L29+M29+N29+O29+P29+Q29+R29</f>
        <v>4658850</v>
      </c>
      <c r="T29" s="204"/>
    </row>
    <row r="30" spans="1:20" ht="12.75">
      <c r="A30" s="195"/>
      <c r="B30" s="195"/>
      <c r="C30" s="115" t="s">
        <v>160</v>
      </c>
      <c r="D30" s="115"/>
      <c r="E30" s="115"/>
      <c r="F30" s="115"/>
      <c r="G30" s="8">
        <f aca="true" t="shared" si="16" ref="G30:R30">G29*G28/1000</f>
        <v>2586786.3</v>
      </c>
      <c r="H30" s="8">
        <f t="shared" si="16"/>
        <v>7277582.7</v>
      </c>
      <c r="I30" s="8">
        <f t="shared" si="16"/>
        <v>12445326</v>
      </c>
      <c r="J30" s="8">
        <f t="shared" si="16"/>
        <v>14712556.5</v>
      </c>
      <c r="K30" s="8">
        <f t="shared" si="16"/>
        <v>8394880.5</v>
      </c>
      <c r="L30" s="8">
        <f t="shared" si="16"/>
        <v>10495494</v>
      </c>
      <c r="M30" s="8">
        <f t="shared" si="16"/>
        <v>10157417.55</v>
      </c>
      <c r="N30" s="8">
        <f t="shared" si="16"/>
        <v>10056070.35</v>
      </c>
      <c r="O30" s="8">
        <f t="shared" si="16"/>
        <v>0</v>
      </c>
      <c r="P30" s="8">
        <f t="shared" si="16"/>
        <v>1294104.6</v>
      </c>
      <c r="Q30" s="8">
        <f t="shared" si="16"/>
        <v>1578592.8</v>
      </c>
      <c r="R30" s="8">
        <f t="shared" si="16"/>
        <v>3537076.95</v>
      </c>
      <c r="S30" s="114">
        <f>R30+Q30+P30+O30+N30+M30+L30+K30+J30+I30+H30+G30</f>
        <v>82535888.25</v>
      </c>
      <c r="T30" s="114"/>
    </row>
    <row r="31" spans="1:20" ht="12.75">
      <c r="A31" s="195" t="s">
        <v>155</v>
      </c>
      <c r="B31" s="195"/>
      <c r="C31" s="115" t="s">
        <v>204</v>
      </c>
      <c r="D31" s="115"/>
      <c r="E31" s="115"/>
      <c r="F31" s="115"/>
      <c r="G31" s="13">
        <f aca="true" t="shared" si="17" ref="G31:R31">G4</f>
        <v>16102</v>
      </c>
      <c r="H31" s="13">
        <f t="shared" si="17"/>
        <v>17617</v>
      </c>
      <c r="I31" s="13">
        <f t="shared" si="17"/>
        <v>22595</v>
      </c>
      <c r="J31" s="13">
        <f t="shared" si="17"/>
        <v>21369</v>
      </c>
      <c r="K31" s="13">
        <f t="shared" si="17"/>
        <v>12193</v>
      </c>
      <c r="L31" s="13">
        <f t="shared" si="17"/>
        <v>15244</v>
      </c>
      <c r="M31" s="13">
        <f t="shared" si="17"/>
        <v>19243</v>
      </c>
      <c r="N31" s="13">
        <f t="shared" si="17"/>
        <v>19051</v>
      </c>
      <c r="O31" s="13">
        <f t="shared" si="17"/>
        <v>19271</v>
      </c>
      <c r="P31" s="13">
        <f t="shared" si="17"/>
        <v>18796</v>
      </c>
      <c r="Q31" s="13">
        <f t="shared" si="17"/>
        <v>17196</v>
      </c>
      <c r="R31" s="13">
        <f t="shared" si="17"/>
        <v>14011</v>
      </c>
      <c r="S31" s="114">
        <f>S33/S32</f>
        <v>17.715935960591132</v>
      </c>
      <c r="T31" s="114"/>
    </row>
    <row r="32" spans="1:20" ht="12.75">
      <c r="A32" s="195"/>
      <c r="B32" s="195"/>
      <c r="C32" s="115" t="s">
        <v>159</v>
      </c>
      <c r="D32" s="115"/>
      <c r="E32" s="115"/>
      <c r="F32" s="115"/>
      <c r="G32" s="15">
        <f>22950*'График транспортирования'!D94</f>
        <v>160650</v>
      </c>
      <c r="H32" s="15">
        <f>22950*'График транспортирования'!E94</f>
        <v>413100</v>
      </c>
      <c r="I32" s="15">
        <f>22950*'График транспортирования'!F94</f>
        <v>550800</v>
      </c>
      <c r="J32" s="15">
        <f>22950*'График транспортирования'!G94</f>
        <v>688500</v>
      </c>
      <c r="K32" s="15">
        <f>22950*'График транспортирования'!H94</f>
        <v>688500</v>
      </c>
      <c r="L32" s="15">
        <f>22950*'График транспортирования'!I94</f>
        <v>688500</v>
      </c>
      <c r="M32" s="15">
        <f>22950*'График транспортирования'!J94</f>
        <v>527850</v>
      </c>
      <c r="N32" s="15">
        <f>22950*'График транспортирования'!K94</f>
        <v>527850</v>
      </c>
      <c r="O32" s="15">
        <f>22950*'График транспортирования'!L94</f>
        <v>0</v>
      </c>
      <c r="P32" s="15">
        <f>22950*'График транспортирования'!M94</f>
        <v>68850</v>
      </c>
      <c r="Q32" s="15">
        <f>22950*'График транспортирования'!N94</f>
        <v>91800</v>
      </c>
      <c r="R32" s="15">
        <f>22950*'График транспортирования'!O94</f>
        <v>252450</v>
      </c>
      <c r="S32" s="204">
        <f>G32+H32+I32+J32+K32+L32+M32+N32+O32+P32+Q32+R32</f>
        <v>4658850</v>
      </c>
      <c r="T32" s="204"/>
    </row>
    <row r="33" spans="1:20" ht="12.75">
      <c r="A33" s="195"/>
      <c r="B33" s="195"/>
      <c r="C33" s="115" t="s">
        <v>160</v>
      </c>
      <c r="D33" s="115"/>
      <c r="E33" s="115"/>
      <c r="F33" s="115"/>
      <c r="G33" s="8">
        <f aca="true" t="shared" si="18" ref="G33:R33">G32*G31/1000</f>
        <v>2586786.3</v>
      </c>
      <c r="H33" s="8">
        <f t="shared" si="18"/>
        <v>7277582.7</v>
      </c>
      <c r="I33" s="8">
        <f t="shared" si="18"/>
        <v>12445326</v>
      </c>
      <c r="J33" s="8">
        <f t="shared" si="18"/>
        <v>14712556.5</v>
      </c>
      <c r="K33" s="8">
        <f t="shared" si="18"/>
        <v>8394880.5</v>
      </c>
      <c r="L33" s="8">
        <f t="shared" si="18"/>
        <v>10495494</v>
      </c>
      <c r="M33" s="8">
        <f t="shared" si="18"/>
        <v>10157417.55</v>
      </c>
      <c r="N33" s="8">
        <f t="shared" si="18"/>
        <v>10056070.35</v>
      </c>
      <c r="O33" s="8">
        <f t="shared" si="18"/>
        <v>0</v>
      </c>
      <c r="P33" s="8">
        <f t="shared" si="18"/>
        <v>1294104.6</v>
      </c>
      <c r="Q33" s="8">
        <f t="shared" si="18"/>
        <v>1578592.8</v>
      </c>
      <c r="R33" s="8">
        <f t="shared" si="18"/>
        <v>3537076.95</v>
      </c>
      <c r="S33" s="114">
        <f>R33+Q33+P33+O33+N33+M33+L33+K33+J33+I33+H33+G33</f>
        <v>82535888.25</v>
      </c>
      <c r="T33" s="114"/>
    </row>
    <row r="34" spans="1:20" ht="12.75">
      <c r="A34" s="195" t="s">
        <v>156</v>
      </c>
      <c r="B34" s="195"/>
      <c r="C34" s="115" t="s">
        <v>204</v>
      </c>
      <c r="D34" s="115"/>
      <c r="E34" s="115"/>
      <c r="F34" s="115"/>
      <c r="G34" s="13">
        <f aca="true" t="shared" si="19" ref="G34:R34">G4</f>
        <v>16102</v>
      </c>
      <c r="H34" s="13">
        <f t="shared" si="19"/>
        <v>17617</v>
      </c>
      <c r="I34" s="13">
        <f t="shared" si="19"/>
        <v>22595</v>
      </c>
      <c r="J34" s="13">
        <f t="shared" si="19"/>
        <v>21369</v>
      </c>
      <c r="K34" s="13">
        <f t="shared" si="19"/>
        <v>12193</v>
      </c>
      <c r="L34" s="13">
        <f t="shared" si="19"/>
        <v>15244</v>
      </c>
      <c r="M34" s="13">
        <f t="shared" si="19"/>
        <v>19243</v>
      </c>
      <c r="N34" s="13">
        <f t="shared" si="19"/>
        <v>19051</v>
      </c>
      <c r="O34" s="13">
        <f t="shared" si="19"/>
        <v>19271</v>
      </c>
      <c r="P34" s="13">
        <f t="shared" si="19"/>
        <v>18796</v>
      </c>
      <c r="Q34" s="13">
        <f t="shared" si="19"/>
        <v>17196</v>
      </c>
      <c r="R34" s="13">
        <f t="shared" si="19"/>
        <v>14011</v>
      </c>
      <c r="S34" s="114">
        <f>S36/S35</f>
        <v>17.716354679802954</v>
      </c>
      <c r="T34" s="114"/>
    </row>
    <row r="35" spans="1:20" ht="12.75">
      <c r="A35" s="195"/>
      <c r="B35" s="195"/>
      <c r="C35" s="115" t="s">
        <v>159</v>
      </c>
      <c r="D35" s="115"/>
      <c r="E35" s="115"/>
      <c r="F35" s="115"/>
      <c r="G35" s="15">
        <f>22950*'График транспортирования'!D102</f>
        <v>183600</v>
      </c>
      <c r="H35" s="15">
        <f>22950*'График транспортирования'!E102</f>
        <v>390150</v>
      </c>
      <c r="I35" s="15">
        <f>22950*'График транспортирования'!F102</f>
        <v>550800</v>
      </c>
      <c r="J35" s="15">
        <f>22950*'График транспортирования'!G102</f>
        <v>688500</v>
      </c>
      <c r="K35" s="15">
        <f>22950*'График транспортирования'!H102</f>
        <v>688500</v>
      </c>
      <c r="L35" s="15">
        <f>22950*'График транспортирования'!I102</f>
        <v>688500</v>
      </c>
      <c r="M35" s="15">
        <f>22950*'График транспортирования'!J102</f>
        <v>527850</v>
      </c>
      <c r="N35" s="15">
        <f>22950*'График транспортирования'!K102</f>
        <v>527850</v>
      </c>
      <c r="O35" s="15">
        <f>22950*'График транспортирования'!L102</f>
        <v>0</v>
      </c>
      <c r="P35" s="15">
        <f>22950*'График транспортирования'!M102</f>
        <v>91800</v>
      </c>
      <c r="Q35" s="15">
        <f>22950*'График транспортирования'!N102</f>
        <v>68850</v>
      </c>
      <c r="R35" s="15">
        <f>22950*'График транспортирования'!O102</f>
        <v>252450</v>
      </c>
      <c r="S35" s="204">
        <f>G35+H35+I35+J35+K35+L35+M35+N35+O35+P35+Q35+R35</f>
        <v>4658850</v>
      </c>
      <c r="T35" s="204"/>
    </row>
    <row r="36" spans="1:20" ht="12.75">
      <c r="A36" s="195"/>
      <c r="B36" s="195"/>
      <c r="C36" s="115" t="s">
        <v>160</v>
      </c>
      <c r="D36" s="115"/>
      <c r="E36" s="115"/>
      <c r="F36" s="115"/>
      <c r="G36" s="8">
        <f aca="true" t="shared" si="20" ref="G36:R36">G35*G34/1000</f>
        <v>2956327.2</v>
      </c>
      <c r="H36" s="8">
        <f t="shared" si="20"/>
        <v>6873272.55</v>
      </c>
      <c r="I36" s="8">
        <f t="shared" si="20"/>
        <v>12445326</v>
      </c>
      <c r="J36" s="8">
        <f t="shared" si="20"/>
        <v>14712556.5</v>
      </c>
      <c r="K36" s="8">
        <f t="shared" si="20"/>
        <v>8394880.5</v>
      </c>
      <c r="L36" s="8">
        <f t="shared" si="20"/>
        <v>10495494</v>
      </c>
      <c r="M36" s="8">
        <f t="shared" si="20"/>
        <v>10157417.55</v>
      </c>
      <c r="N36" s="8">
        <f t="shared" si="20"/>
        <v>10056070.35</v>
      </c>
      <c r="O36" s="8">
        <f t="shared" si="20"/>
        <v>0</v>
      </c>
      <c r="P36" s="8">
        <f t="shared" si="20"/>
        <v>1725472.8</v>
      </c>
      <c r="Q36" s="8">
        <f t="shared" si="20"/>
        <v>1183944.6</v>
      </c>
      <c r="R36" s="8">
        <f t="shared" si="20"/>
        <v>3537076.95</v>
      </c>
      <c r="S36" s="114">
        <f>R36+Q36+P36+O36+N36+M36+L36+K36+J36+I36+H36+G36</f>
        <v>82537839</v>
      </c>
      <c r="T36" s="114"/>
    </row>
    <row r="37" spans="1:20" ht="12.75">
      <c r="A37" s="195" t="s">
        <v>157</v>
      </c>
      <c r="B37" s="195"/>
      <c r="C37" s="115" t="s">
        <v>204</v>
      </c>
      <c r="D37" s="115"/>
      <c r="E37" s="115"/>
      <c r="F37" s="115"/>
      <c r="G37" s="13">
        <f aca="true" t="shared" si="21" ref="G37:R37">G4</f>
        <v>16102</v>
      </c>
      <c r="H37" s="13">
        <f t="shared" si="21"/>
        <v>17617</v>
      </c>
      <c r="I37" s="13">
        <f t="shared" si="21"/>
        <v>22595</v>
      </c>
      <c r="J37" s="13">
        <f t="shared" si="21"/>
        <v>21369</v>
      </c>
      <c r="K37" s="13">
        <f t="shared" si="21"/>
        <v>12193</v>
      </c>
      <c r="L37" s="13">
        <f t="shared" si="21"/>
        <v>15244</v>
      </c>
      <c r="M37" s="13">
        <f t="shared" si="21"/>
        <v>19243</v>
      </c>
      <c r="N37" s="13">
        <f t="shared" si="21"/>
        <v>19051</v>
      </c>
      <c r="O37" s="13">
        <f t="shared" si="21"/>
        <v>19271</v>
      </c>
      <c r="P37" s="13">
        <f t="shared" si="21"/>
        <v>18796</v>
      </c>
      <c r="Q37" s="13">
        <f t="shared" si="21"/>
        <v>17196</v>
      </c>
      <c r="R37" s="13">
        <f t="shared" si="21"/>
        <v>14011</v>
      </c>
      <c r="S37" s="114">
        <f>S39/S38</f>
        <v>17.707522167487685</v>
      </c>
      <c r="T37" s="114"/>
    </row>
    <row r="38" spans="1:20" ht="12.75">
      <c r="A38" s="195"/>
      <c r="B38" s="195"/>
      <c r="C38" s="115" t="s">
        <v>159</v>
      </c>
      <c r="D38" s="115"/>
      <c r="E38" s="115"/>
      <c r="F38" s="115"/>
      <c r="G38" s="15">
        <f>22950*'График транспортирования'!D110</f>
        <v>183600</v>
      </c>
      <c r="H38" s="15">
        <f>22950*'График транспортирования'!E110</f>
        <v>413100</v>
      </c>
      <c r="I38" s="15">
        <f>22950*'График транспортирования'!F110</f>
        <v>527850</v>
      </c>
      <c r="J38" s="15">
        <f>22950*'График транспортирования'!G110</f>
        <v>688500</v>
      </c>
      <c r="K38" s="15">
        <f>22950*'График транспортирования'!H110</f>
        <v>688500</v>
      </c>
      <c r="L38" s="15">
        <f>22950*'График транспортирования'!I110</f>
        <v>688500</v>
      </c>
      <c r="M38" s="15">
        <f>22950*'График транспортирования'!J110</f>
        <v>527850</v>
      </c>
      <c r="N38" s="15">
        <f>22950*'График транспортирования'!K110</f>
        <v>527850</v>
      </c>
      <c r="O38" s="15">
        <f>22950*'График транспортирования'!L110</f>
        <v>0</v>
      </c>
      <c r="P38" s="15">
        <f>22950*'График транспортирования'!M110</f>
        <v>91800</v>
      </c>
      <c r="Q38" s="15">
        <f>22950*'График транспортирования'!N110</f>
        <v>91800</v>
      </c>
      <c r="R38" s="15">
        <f>22950*'График транспортирования'!O110</f>
        <v>229500</v>
      </c>
      <c r="S38" s="204">
        <f>G38+H38+I38+J38+K38+L38+M38+N38+O38+P38+Q38+R38</f>
        <v>4658850</v>
      </c>
      <c r="T38" s="204"/>
    </row>
    <row r="39" spans="1:20" ht="12.75">
      <c r="A39" s="195"/>
      <c r="B39" s="195"/>
      <c r="C39" s="115" t="s">
        <v>160</v>
      </c>
      <c r="D39" s="115"/>
      <c r="E39" s="115"/>
      <c r="F39" s="115"/>
      <c r="G39" s="8">
        <f aca="true" t="shared" si="22" ref="G39:R39">G38*G37/1000</f>
        <v>2956327.2</v>
      </c>
      <c r="H39" s="8">
        <f t="shared" si="22"/>
        <v>7277582.7</v>
      </c>
      <c r="I39" s="8">
        <f t="shared" si="22"/>
        <v>11926770.75</v>
      </c>
      <c r="J39" s="8">
        <f t="shared" si="22"/>
        <v>14712556.5</v>
      </c>
      <c r="K39" s="8">
        <f t="shared" si="22"/>
        <v>8394880.5</v>
      </c>
      <c r="L39" s="8">
        <f t="shared" si="22"/>
        <v>10495494</v>
      </c>
      <c r="M39" s="8">
        <f t="shared" si="22"/>
        <v>10157417.55</v>
      </c>
      <c r="N39" s="8">
        <f t="shared" si="22"/>
        <v>10056070.35</v>
      </c>
      <c r="O39" s="8">
        <f t="shared" si="22"/>
        <v>0</v>
      </c>
      <c r="P39" s="8">
        <f t="shared" si="22"/>
        <v>1725472.8</v>
      </c>
      <c r="Q39" s="8">
        <f t="shared" si="22"/>
        <v>1578592.8</v>
      </c>
      <c r="R39" s="8">
        <f t="shared" si="22"/>
        <v>3215524.5</v>
      </c>
      <c r="S39" s="114">
        <f>R39+Q39+P39+O39+N39+M39+L39+K39+J39+I39+H39+G39</f>
        <v>82496689.65</v>
      </c>
      <c r="T39" s="114"/>
    </row>
    <row r="40" spans="1:20" ht="12.75">
      <c r="A40" s="195" t="s">
        <v>158</v>
      </c>
      <c r="B40" s="195"/>
      <c r="C40" s="115" t="s">
        <v>204</v>
      </c>
      <c r="D40" s="115"/>
      <c r="E40" s="115"/>
      <c r="F40" s="115"/>
      <c r="G40" s="13">
        <f aca="true" t="shared" si="23" ref="G40:R40">G4</f>
        <v>16102</v>
      </c>
      <c r="H40" s="13">
        <f t="shared" si="23"/>
        <v>17617</v>
      </c>
      <c r="I40" s="13">
        <f t="shared" si="23"/>
        <v>22595</v>
      </c>
      <c r="J40" s="13">
        <f t="shared" si="23"/>
        <v>21369</v>
      </c>
      <c r="K40" s="13">
        <f t="shared" si="23"/>
        <v>12193</v>
      </c>
      <c r="L40" s="13">
        <f t="shared" si="23"/>
        <v>15244</v>
      </c>
      <c r="M40" s="13">
        <f t="shared" si="23"/>
        <v>19243</v>
      </c>
      <c r="N40" s="13">
        <f t="shared" si="23"/>
        <v>19051</v>
      </c>
      <c r="O40" s="13">
        <f t="shared" si="23"/>
        <v>19271</v>
      </c>
      <c r="P40" s="13">
        <f t="shared" si="23"/>
        <v>18796</v>
      </c>
      <c r="Q40" s="13">
        <f t="shared" si="23"/>
        <v>17196</v>
      </c>
      <c r="R40" s="13">
        <f t="shared" si="23"/>
        <v>14011</v>
      </c>
      <c r="S40" s="114">
        <f>S42/S41</f>
        <v>17.724034482758622</v>
      </c>
      <c r="T40" s="114"/>
    </row>
    <row r="41" spans="1:20" ht="12.75">
      <c r="A41" s="195"/>
      <c r="B41" s="195"/>
      <c r="C41" s="115" t="s">
        <v>159</v>
      </c>
      <c r="D41" s="115"/>
      <c r="E41" s="115"/>
      <c r="F41" s="115"/>
      <c r="G41" s="15">
        <f>22950*'График транспортирования'!D118</f>
        <v>183600</v>
      </c>
      <c r="H41" s="15">
        <f>22950*'График транспортирования'!E118</f>
        <v>413100</v>
      </c>
      <c r="I41" s="15">
        <f>22950*'График транспортирования'!F118</f>
        <v>550800</v>
      </c>
      <c r="J41" s="15">
        <f>22950*'График транспортирования'!G118</f>
        <v>688500</v>
      </c>
      <c r="K41" s="15">
        <f>22950*'График транспортирования'!H118</f>
        <v>688500</v>
      </c>
      <c r="L41" s="15">
        <f>22950*'График транспортирования'!I118</f>
        <v>688500</v>
      </c>
      <c r="M41" s="15">
        <f>22950*'График транспортирования'!J118</f>
        <v>504900</v>
      </c>
      <c r="N41" s="15">
        <f>22950*'График транспортирования'!K118</f>
        <v>527850</v>
      </c>
      <c r="O41" s="15">
        <f>22950*'График транспортирования'!L118</f>
        <v>0</v>
      </c>
      <c r="P41" s="15">
        <f>22950*'График транспортирования'!M118</f>
        <v>91800</v>
      </c>
      <c r="Q41" s="15">
        <f>22950*'График транспортирования'!N118</f>
        <v>91800</v>
      </c>
      <c r="R41" s="15">
        <f>22950*'График транспортирования'!O118</f>
        <v>229500</v>
      </c>
      <c r="S41" s="204">
        <f>G41+H41+I41+J41+K41+L41+M41+N41+O41+P41+Q41+R41</f>
        <v>4658850</v>
      </c>
      <c r="T41" s="204"/>
    </row>
    <row r="42" spans="1:20" ht="12.75">
      <c r="A42" s="195"/>
      <c r="B42" s="195"/>
      <c r="C42" s="115" t="s">
        <v>160</v>
      </c>
      <c r="D42" s="115"/>
      <c r="E42" s="115"/>
      <c r="F42" s="115"/>
      <c r="G42" s="8">
        <f aca="true" t="shared" si="24" ref="G42:R42">G41*G40/1000</f>
        <v>2956327.2</v>
      </c>
      <c r="H42" s="8">
        <f t="shared" si="24"/>
        <v>7277582.7</v>
      </c>
      <c r="I42" s="8">
        <f t="shared" si="24"/>
        <v>12445326</v>
      </c>
      <c r="J42" s="8">
        <f t="shared" si="24"/>
        <v>14712556.5</v>
      </c>
      <c r="K42" s="8">
        <f t="shared" si="24"/>
        <v>8394880.5</v>
      </c>
      <c r="L42" s="8">
        <f t="shared" si="24"/>
        <v>10495494</v>
      </c>
      <c r="M42" s="8">
        <f t="shared" si="24"/>
        <v>9715790.7</v>
      </c>
      <c r="N42" s="8">
        <f t="shared" si="24"/>
        <v>10056070.35</v>
      </c>
      <c r="O42" s="8">
        <f t="shared" si="24"/>
        <v>0</v>
      </c>
      <c r="P42" s="8">
        <f t="shared" si="24"/>
        <v>1725472.8</v>
      </c>
      <c r="Q42" s="8">
        <f t="shared" si="24"/>
        <v>1578592.8</v>
      </c>
      <c r="R42" s="8">
        <f t="shared" si="24"/>
        <v>3215524.5</v>
      </c>
      <c r="S42" s="114">
        <f>R42+Q42+P42+O42+N42+M42+L42+K42+J42+I42+H42+G42</f>
        <v>82573618.05000001</v>
      </c>
      <c r="T42" s="114"/>
    </row>
  </sheetData>
  <sheetProtection/>
  <mergeCells count="96">
    <mergeCell ref="A40:B42"/>
    <mergeCell ref="C40:F40"/>
    <mergeCell ref="S40:T40"/>
    <mergeCell ref="C41:F41"/>
    <mergeCell ref="S41:T41"/>
    <mergeCell ref="C42:F42"/>
    <mergeCell ref="S42:T42"/>
    <mergeCell ref="A37:B39"/>
    <mergeCell ref="C37:F37"/>
    <mergeCell ref="S37:T37"/>
    <mergeCell ref="C38:F38"/>
    <mergeCell ref="S38:T38"/>
    <mergeCell ref="C39:F39"/>
    <mergeCell ref="S39:T39"/>
    <mergeCell ref="A34:B36"/>
    <mergeCell ref="C34:F34"/>
    <mergeCell ref="S34:T34"/>
    <mergeCell ref="C35:F35"/>
    <mergeCell ref="S35:T35"/>
    <mergeCell ref="C36:F36"/>
    <mergeCell ref="S36:T36"/>
    <mergeCell ref="A31:B33"/>
    <mergeCell ref="C31:F31"/>
    <mergeCell ref="S31:T31"/>
    <mergeCell ref="C32:F32"/>
    <mergeCell ref="S32:T32"/>
    <mergeCell ref="C33:F33"/>
    <mergeCell ref="S33:T33"/>
    <mergeCell ref="A28:B30"/>
    <mergeCell ref="C28:F28"/>
    <mergeCell ref="S28:T28"/>
    <mergeCell ref="C29:F29"/>
    <mergeCell ref="S29:T29"/>
    <mergeCell ref="C30:F30"/>
    <mergeCell ref="S30:T30"/>
    <mergeCell ref="A25:B27"/>
    <mergeCell ref="C25:F25"/>
    <mergeCell ref="S25:T25"/>
    <mergeCell ref="C26:F26"/>
    <mergeCell ref="S26:T26"/>
    <mergeCell ref="C27:F27"/>
    <mergeCell ref="S27:T27"/>
    <mergeCell ref="A22:B24"/>
    <mergeCell ref="C22:F22"/>
    <mergeCell ref="S22:T22"/>
    <mergeCell ref="C23:F23"/>
    <mergeCell ref="S23:T23"/>
    <mergeCell ref="C24:F24"/>
    <mergeCell ref="S24:T24"/>
    <mergeCell ref="A19:B21"/>
    <mergeCell ref="C19:F19"/>
    <mergeCell ref="S19:T19"/>
    <mergeCell ref="C20:F20"/>
    <mergeCell ref="S20:T20"/>
    <mergeCell ref="C21:F21"/>
    <mergeCell ref="S21:T21"/>
    <mergeCell ref="A16:B18"/>
    <mergeCell ref="C16:F16"/>
    <mergeCell ref="S16:T16"/>
    <mergeCell ref="C17:F17"/>
    <mergeCell ref="S17:T17"/>
    <mergeCell ref="C18:F18"/>
    <mergeCell ref="S18:T18"/>
    <mergeCell ref="A13:B15"/>
    <mergeCell ref="C13:F13"/>
    <mergeCell ref="S13:T13"/>
    <mergeCell ref="C14:F14"/>
    <mergeCell ref="S14:T14"/>
    <mergeCell ref="C15:F15"/>
    <mergeCell ref="S15:T15"/>
    <mergeCell ref="A10:B12"/>
    <mergeCell ref="C10:F10"/>
    <mergeCell ref="S10:T10"/>
    <mergeCell ref="C11:F11"/>
    <mergeCell ref="S11:T11"/>
    <mergeCell ref="C12:F12"/>
    <mergeCell ref="S12:T12"/>
    <mergeCell ref="A7:B9"/>
    <mergeCell ref="C7:F7"/>
    <mergeCell ref="S7:T7"/>
    <mergeCell ref="C8:F8"/>
    <mergeCell ref="S8:T8"/>
    <mergeCell ref="S6:T6"/>
    <mergeCell ref="C9:F9"/>
    <mergeCell ref="S9:T9"/>
    <mergeCell ref="C6:F6"/>
    <mergeCell ref="A1:T1"/>
    <mergeCell ref="A2:B3"/>
    <mergeCell ref="C4:F4"/>
    <mergeCell ref="C5:F5"/>
    <mergeCell ref="C2:F3"/>
    <mergeCell ref="G2:R2"/>
    <mergeCell ref="S2:T3"/>
    <mergeCell ref="S4:T4"/>
    <mergeCell ref="A4:B6"/>
    <mergeCell ref="S5:T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1">
      <selection activeCell="I5" sqref="I5"/>
    </sheetView>
  </sheetViews>
  <sheetFormatPr defaultColWidth="9.00390625" defaultRowHeight="12.75"/>
  <cols>
    <col min="7" max="8" width="9.25390625" style="0" bestFit="1" customWidth="1"/>
    <col min="9" max="14" width="10.125" style="0" bestFit="1" customWidth="1"/>
    <col min="15" max="18" width="9.25390625" style="0" bestFit="1" customWidth="1"/>
    <col min="19" max="19" width="12.375" style="0" bestFit="1" customWidth="1"/>
  </cols>
  <sheetData>
    <row r="1" spans="1:19" ht="18.75">
      <c r="A1" s="194" t="s">
        <v>164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</row>
    <row r="2" spans="1:19" ht="12.75" customHeight="1">
      <c r="A2" s="206" t="s">
        <v>163</v>
      </c>
      <c r="B2" s="206"/>
      <c r="C2" s="115"/>
      <c r="D2" s="115"/>
      <c r="E2" s="115"/>
      <c r="F2" s="115"/>
      <c r="G2" s="115" t="s">
        <v>142</v>
      </c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205" t="s">
        <v>58</v>
      </c>
    </row>
    <row r="3" spans="1:19" ht="12.75">
      <c r="A3" s="206"/>
      <c r="B3" s="206"/>
      <c r="C3" s="115"/>
      <c r="D3" s="115"/>
      <c r="E3" s="115"/>
      <c r="F3" s="115"/>
      <c r="G3" s="13" t="s">
        <v>46</v>
      </c>
      <c r="H3" s="13" t="s">
        <v>47</v>
      </c>
      <c r="I3" s="13" t="s">
        <v>48</v>
      </c>
      <c r="J3" s="13" t="s">
        <v>49</v>
      </c>
      <c r="K3" s="13" t="s">
        <v>38</v>
      </c>
      <c r="L3" s="13" t="s">
        <v>39</v>
      </c>
      <c r="M3" s="13" t="s">
        <v>40</v>
      </c>
      <c r="N3" s="13" t="s">
        <v>41</v>
      </c>
      <c r="O3" s="13" t="s">
        <v>42</v>
      </c>
      <c r="P3" s="13" t="s">
        <v>43</v>
      </c>
      <c r="Q3" s="13" t="s">
        <v>44</v>
      </c>
      <c r="R3" s="13" t="s">
        <v>45</v>
      </c>
      <c r="S3" s="205"/>
    </row>
    <row r="4" spans="1:19" ht="12.75">
      <c r="A4" s="206"/>
      <c r="B4" s="206"/>
      <c r="C4" s="115" t="s">
        <v>166</v>
      </c>
      <c r="D4" s="115"/>
      <c r="E4" s="115"/>
      <c r="F4" s="115"/>
      <c r="G4" s="115">
        <v>87293.9</v>
      </c>
      <c r="H4" s="115"/>
      <c r="I4" s="115">
        <v>103010.64</v>
      </c>
      <c r="J4" s="115"/>
      <c r="K4" s="115"/>
      <c r="L4" s="115"/>
      <c r="M4" s="115"/>
      <c r="N4" s="115"/>
      <c r="O4" s="115">
        <v>87293.9</v>
      </c>
      <c r="P4" s="115"/>
      <c r="Q4" s="115"/>
      <c r="R4" s="115"/>
      <c r="S4" s="205"/>
    </row>
    <row r="5" spans="1:19" ht="12.75">
      <c r="A5" s="195" t="s">
        <v>144</v>
      </c>
      <c r="B5" s="195"/>
      <c r="C5" s="115" t="s">
        <v>145</v>
      </c>
      <c r="D5" s="115"/>
      <c r="E5" s="115"/>
      <c r="F5" s="115"/>
      <c r="G5" s="15">
        <f>'График транспортирования'!D22</f>
        <v>7</v>
      </c>
      <c r="H5" s="15">
        <f>'График транспортирования'!E22</f>
        <v>8</v>
      </c>
      <c r="I5" s="15">
        <f>'График транспортирования'!F22</f>
        <v>10</v>
      </c>
      <c r="J5" s="15">
        <f>'График транспортирования'!G22</f>
        <v>15</v>
      </c>
      <c r="K5" s="15">
        <f>'График транспортирования'!H22</f>
        <v>20</v>
      </c>
      <c r="L5" s="15">
        <f>'График транспортирования'!I22</f>
        <v>14</v>
      </c>
      <c r="M5" s="15">
        <f>'График транспортирования'!J22</f>
        <v>8</v>
      </c>
      <c r="N5" s="15">
        <f>'График транспортирования'!K22</f>
        <v>11</v>
      </c>
      <c r="O5" s="15">
        <f>'График транспортирования'!L22</f>
        <v>0</v>
      </c>
      <c r="P5" s="15">
        <f>'График транспортирования'!M22</f>
        <v>1</v>
      </c>
      <c r="Q5" s="15">
        <f>'График транспортирования'!N22</f>
        <v>2</v>
      </c>
      <c r="R5" s="15">
        <f>'График транспортирования'!O22</f>
        <v>4</v>
      </c>
      <c r="S5" s="16">
        <f>G5+H5+I5+J5+K5+L5+M5+N5+O5+P5+Q5+R5</f>
        <v>100</v>
      </c>
    </row>
    <row r="6" spans="1:19" ht="12.75">
      <c r="A6" s="195"/>
      <c r="B6" s="195"/>
      <c r="C6" s="115" t="s">
        <v>165</v>
      </c>
      <c r="D6" s="115"/>
      <c r="E6" s="115"/>
      <c r="F6" s="115"/>
      <c r="G6" s="8">
        <f>G5*G4</f>
        <v>611057.2999999999</v>
      </c>
      <c r="H6" s="8">
        <f>H5*G4</f>
        <v>698351.2</v>
      </c>
      <c r="I6" s="8">
        <f>I5*I4</f>
        <v>1030106.4</v>
      </c>
      <c r="J6" s="8">
        <f>J5*I4</f>
        <v>1545159.6</v>
      </c>
      <c r="K6" s="8">
        <f>K5*I4</f>
        <v>2060212.8</v>
      </c>
      <c r="L6" s="8">
        <f>L5*I4</f>
        <v>1442148.96</v>
      </c>
      <c r="M6" s="13">
        <f>M5*I4</f>
        <v>824085.12</v>
      </c>
      <c r="N6" s="13">
        <f>N5*I4</f>
        <v>1133117.04</v>
      </c>
      <c r="O6" s="13">
        <f>O5*O4</f>
        <v>0</v>
      </c>
      <c r="P6" s="13">
        <f>P5*O4</f>
        <v>87293.9</v>
      </c>
      <c r="Q6" s="8">
        <f>Q5*O4</f>
        <v>174587.8</v>
      </c>
      <c r="R6" s="8">
        <f>R5*O4</f>
        <v>349175.6</v>
      </c>
      <c r="S6" s="9">
        <f>R6+Q6+P6+O6+N6+M6+L6+K6+J6+I6+H6+G6</f>
        <v>9955295.72</v>
      </c>
    </row>
    <row r="7" spans="1:19" ht="12.75">
      <c r="A7" s="195" t="s">
        <v>147</v>
      </c>
      <c r="B7" s="195"/>
      <c r="C7" s="115" t="s">
        <v>145</v>
      </c>
      <c r="D7" s="115"/>
      <c r="E7" s="115"/>
      <c r="F7" s="115"/>
      <c r="G7" s="15">
        <f>'График транспортирования'!D30</f>
        <v>12</v>
      </c>
      <c r="H7" s="15">
        <f>'График транспортирования'!E30</f>
        <v>18</v>
      </c>
      <c r="I7" s="15">
        <f>'График транспортирования'!F30</f>
        <v>24</v>
      </c>
      <c r="J7" s="15">
        <f>'График транспортирования'!G30</f>
        <v>30</v>
      </c>
      <c r="K7" s="15">
        <f>'График транспортирования'!H30</f>
        <v>30</v>
      </c>
      <c r="L7" s="15">
        <f>'График транспортирования'!I30</f>
        <v>30</v>
      </c>
      <c r="M7" s="15">
        <f>'График транспортирования'!J30</f>
        <v>22</v>
      </c>
      <c r="N7" s="15">
        <f>'График транспортирования'!K30</f>
        <v>23</v>
      </c>
      <c r="O7" s="15">
        <f>'График транспортирования'!L30</f>
        <v>0</v>
      </c>
      <c r="P7" s="15">
        <f>'График транспортирования'!M30</f>
        <v>4</v>
      </c>
      <c r="Q7" s="15">
        <f>'График транспортирования'!N30</f>
        <v>4</v>
      </c>
      <c r="R7" s="15">
        <f>'График транспортирования'!O30</f>
        <v>10</v>
      </c>
      <c r="S7" s="16">
        <f>G7+H7+I7+J7+K7+L7+M7+N7+O7+P7+Q7+R7</f>
        <v>207</v>
      </c>
    </row>
    <row r="8" spans="1:19" ht="12.75">
      <c r="A8" s="195"/>
      <c r="B8" s="195"/>
      <c r="C8" s="115" t="s">
        <v>165</v>
      </c>
      <c r="D8" s="115"/>
      <c r="E8" s="115"/>
      <c r="F8" s="115"/>
      <c r="G8" s="13">
        <f>G7*G4</f>
        <v>1047526.7999999999</v>
      </c>
      <c r="H8" s="8">
        <f>H7*G4</f>
        <v>1571290.2</v>
      </c>
      <c r="I8" s="8">
        <f>I7*I4</f>
        <v>2472255.36</v>
      </c>
      <c r="J8" s="8">
        <f>J7*I4</f>
        <v>3090319.2</v>
      </c>
      <c r="K8" s="8">
        <f>K7*I4</f>
        <v>3090319.2</v>
      </c>
      <c r="L8" s="8">
        <f>L7*I4</f>
        <v>3090319.2</v>
      </c>
      <c r="M8" s="8">
        <f>M7*I4</f>
        <v>2266234.08</v>
      </c>
      <c r="N8" s="8">
        <f>N7*I4</f>
        <v>2369244.72</v>
      </c>
      <c r="O8" s="8">
        <f>O7*O4</f>
        <v>0</v>
      </c>
      <c r="P8" s="8">
        <f>P7*O4</f>
        <v>349175.6</v>
      </c>
      <c r="Q8" s="8">
        <f>Q7*O4</f>
        <v>349175.6</v>
      </c>
      <c r="R8" s="8">
        <f>R7*O4</f>
        <v>872939</v>
      </c>
      <c r="S8" s="9">
        <f>R8+Q8+P8+O8+N8+M8+L8+K8+J8+I8+H8+G8</f>
        <v>20568798.959999997</v>
      </c>
    </row>
    <row r="9" spans="1:19" ht="12.75">
      <c r="A9" s="195" t="s">
        <v>148</v>
      </c>
      <c r="B9" s="195"/>
      <c r="C9" s="115" t="s">
        <v>145</v>
      </c>
      <c r="D9" s="115"/>
      <c r="E9" s="115"/>
      <c r="F9" s="115"/>
      <c r="G9" s="15">
        <f>'График транспортирования'!D38</f>
        <v>8</v>
      </c>
      <c r="H9" s="15">
        <f>'График транспортирования'!E38</f>
        <v>18</v>
      </c>
      <c r="I9" s="15">
        <f>'График транспортирования'!F38</f>
        <v>24</v>
      </c>
      <c r="J9" s="15">
        <f>'График транспортирования'!G38</f>
        <v>30</v>
      </c>
      <c r="K9" s="15">
        <f>'График транспортирования'!H38</f>
        <v>30</v>
      </c>
      <c r="L9" s="15">
        <f>'График транспортирования'!I38</f>
        <v>30</v>
      </c>
      <c r="M9" s="15">
        <f>'График транспортирования'!J38</f>
        <v>23</v>
      </c>
      <c r="N9" s="15">
        <f>'График транспортирования'!K38</f>
        <v>23</v>
      </c>
      <c r="O9" s="15">
        <f>'График транспортирования'!L38</f>
        <v>0</v>
      </c>
      <c r="P9" s="15">
        <f>'График транспортирования'!M38</f>
        <v>3</v>
      </c>
      <c r="Q9" s="15">
        <f>'График транспортирования'!N38</f>
        <v>4</v>
      </c>
      <c r="R9" s="15">
        <f>'График транспортирования'!O38</f>
        <v>11</v>
      </c>
      <c r="S9" s="16">
        <f>G9+H9+I9+J9+K9+L9+M9+N9+O9+P9+Q9+R9</f>
        <v>204</v>
      </c>
    </row>
    <row r="10" spans="1:19" ht="12.75">
      <c r="A10" s="195"/>
      <c r="B10" s="195"/>
      <c r="C10" s="115" t="s">
        <v>165</v>
      </c>
      <c r="D10" s="115"/>
      <c r="E10" s="115"/>
      <c r="F10" s="115"/>
      <c r="G10" s="8">
        <f>G9*G4</f>
        <v>698351.2</v>
      </c>
      <c r="H10" s="8">
        <f>H9*G4</f>
        <v>1571290.2</v>
      </c>
      <c r="I10" s="8">
        <f>I9*I4</f>
        <v>2472255.36</v>
      </c>
      <c r="J10" s="8">
        <f>J9*I4</f>
        <v>3090319.2</v>
      </c>
      <c r="K10" s="8">
        <f>K9*I4</f>
        <v>3090319.2</v>
      </c>
      <c r="L10" s="8">
        <f>L9*I4</f>
        <v>3090319.2</v>
      </c>
      <c r="M10" s="8">
        <f>M9*I4</f>
        <v>2369244.72</v>
      </c>
      <c r="N10" s="8">
        <f>N9*I4</f>
        <v>2369244.72</v>
      </c>
      <c r="O10" s="8">
        <f>O9*O4</f>
        <v>0</v>
      </c>
      <c r="P10" s="13">
        <f>P9*O4</f>
        <v>261881.69999999998</v>
      </c>
      <c r="Q10" s="8">
        <f>Q9*O4</f>
        <v>349175.6</v>
      </c>
      <c r="R10" s="8">
        <f>R9*O4</f>
        <v>960232.8999999999</v>
      </c>
      <c r="S10" s="9">
        <f>R10+Q10+P10+O10+N10+M10+L10+K10+J10+I10+H10+G10</f>
        <v>20322633.999999996</v>
      </c>
    </row>
    <row r="11" spans="1:19" ht="12.75">
      <c r="A11" s="195" t="s">
        <v>149</v>
      </c>
      <c r="B11" s="195"/>
      <c r="C11" s="115" t="s">
        <v>145</v>
      </c>
      <c r="D11" s="115"/>
      <c r="E11" s="115"/>
      <c r="F11" s="115"/>
      <c r="G11" s="15">
        <f>'График транспортирования'!D46</f>
        <v>7</v>
      </c>
      <c r="H11" s="15">
        <f>'График транспортирования'!E46</f>
        <v>18</v>
      </c>
      <c r="I11" s="15">
        <f>'График транспортирования'!F46</f>
        <v>24</v>
      </c>
      <c r="J11" s="15">
        <f>'График транспортирования'!G46</f>
        <v>30</v>
      </c>
      <c r="K11" s="15">
        <f>'График транспортирования'!H46</f>
        <v>30</v>
      </c>
      <c r="L11" s="15">
        <f>'График транспортирования'!I46</f>
        <v>30</v>
      </c>
      <c r="M11" s="15">
        <f>'График транспортирования'!J46</f>
        <v>23</v>
      </c>
      <c r="N11" s="15">
        <f>'График транспортирования'!K46</f>
        <v>23</v>
      </c>
      <c r="O11" s="15">
        <f>'График транспортирования'!L46</f>
        <v>0</v>
      </c>
      <c r="P11" s="15">
        <f>'График транспортирования'!M46</f>
        <v>3</v>
      </c>
      <c r="Q11" s="15">
        <f>'График транспортирования'!N46</f>
        <v>4</v>
      </c>
      <c r="R11" s="15">
        <f>'График транспортирования'!O46</f>
        <v>11</v>
      </c>
      <c r="S11" s="16">
        <f>G11+H11+I11+J11+K11+L11+M11+N11+O11+P11+Q11+R11</f>
        <v>203</v>
      </c>
    </row>
    <row r="12" spans="1:19" ht="12.75">
      <c r="A12" s="195"/>
      <c r="B12" s="195"/>
      <c r="C12" s="115" t="s">
        <v>165</v>
      </c>
      <c r="D12" s="115"/>
      <c r="E12" s="115"/>
      <c r="F12" s="115"/>
      <c r="G12" s="8">
        <f>G11*G4</f>
        <v>611057.2999999999</v>
      </c>
      <c r="H12" s="8">
        <f>H11*G4</f>
        <v>1571290.2</v>
      </c>
      <c r="I12" s="8">
        <f>I11*I4</f>
        <v>2472255.36</v>
      </c>
      <c r="J12" s="8">
        <f>J11*I4</f>
        <v>3090319.2</v>
      </c>
      <c r="K12" s="8">
        <f>K11*I4</f>
        <v>3090319.2</v>
      </c>
      <c r="L12" s="8">
        <f>L11*I4</f>
        <v>3090319.2</v>
      </c>
      <c r="M12" s="8">
        <f>M11*I4</f>
        <v>2369244.72</v>
      </c>
      <c r="N12" s="8">
        <f>N11*I4</f>
        <v>2369244.72</v>
      </c>
      <c r="O12" s="8">
        <f>O11*O4</f>
        <v>0</v>
      </c>
      <c r="P12" s="13">
        <f>P11*O4</f>
        <v>261881.69999999998</v>
      </c>
      <c r="Q12" s="8">
        <f>Q11*O4</f>
        <v>349175.6</v>
      </c>
      <c r="R12" s="8">
        <f>R11*O4</f>
        <v>960232.8999999999</v>
      </c>
      <c r="S12" s="9">
        <f>R12+Q12+P12+O12+N12+M12+L12+K12+J12+I12+H12+G12</f>
        <v>20235340.099999998</v>
      </c>
    </row>
    <row r="13" spans="1:19" ht="12.75">
      <c r="A13" s="195" t="s">
        <v>150</v>
      </c>
      <c r="B13" s="195"/>
      <c r="C13" s="115" t="s">
        <v>145</v>
      </c>
      <c r="D13" s="115"/>
      <c r="E13" s="115"/>
      <c r="F13" s="115"/>
      <c r="G13" s="15">
        <f>'График транспортирования'!D54</f>
        <v>8</v>
      </c>
      <c r="H13" s="15">
        <f>'График транспортирования'!E54</f>
        <v>17</v>
      </c>
      <c r="I13" s="15">
        <f>'График транспортирования'!F54</f>
        <v>24</v>
      </c>
      <c r="J13" s="15">
        <f>'График транспортирования'!G54</f>
        <v>30</v>
      </c>
      <c r="K13" s="15">
        <f>'График транспортирования'!H54</f>
        <v>30</v>
      </c>
      <c r="L13" s="15">
        <f>'График транспортирования'!I54</f>
        <v>30</v>
      </c>
      <c r="M13" s="15">
        <f>'График транспортирования'!J54</f>
        <v>23</v>
      </c>
      <c r="N13" s="15">
        <f>'График транспортирования'!K54</f>
        <v>23</v>
      </c>
      <c r="O13" s="15">
        <f>'График транспортирования'!L54</f>
        <v>0</v>
      </c>
      <c r="P13" s="15">
        <f>'График транспортирования'!M54</f>
        <v>4</v>
      </c>
      <c r="Q13" s="15">
        <f>'График транспортирования'!N54</f>
        <v>3</v>
      </c>
      <c r="R13" s="15">
        <f>'График транспортирования'!O54</f>
        <v>11</v>
      </c>
      <c r="S13" s="16">
        <f>G13+H13+I13+J13+K13+L13+M13+N13+O13+P13+Q13+R13</f>
        <v>203</v>
      </c>
    </row>
    <row r="14" spans="1:19" ht="12.75">
      <c r="A14" s="195"/>
      <c r="B14" s="195"/>
      <c r="C14" s="115" t="s">
        <v>165</v>
      </c>
      <c r="D14" s="115"/>
      <c r="E14" s="115"/>
      <c r="F14" s="115"/>
      <c r="G14" s="8">
        <f>G13*G4</f>
        <v>698351.2</v>
      </c>
      <c r="H14" s="8">
        <f>H13*G4</f>
        <v>1483996.2999999998</v>
      </c>
      <c r="I14" s="8">
        <f>I13*I4</f>
        <v>2472255.36</v>
      </c>
      <c r="J14" s="8">
        <f>J13*I4</f>
        <v>3090319.2</v>
      </c>
      <c r="K14" s="8">
        <f>K13*I4</f>
        <v>3090319.2</v>
      </c>
      <c r="L14" s="8">
        <f>L13*I4</f>
        <v>3090319.2</v>
      </c>
      <c r="M14" s="8">
        <f>M13*I4</f>
        <v>2369244.72</v>
      </c>
      <c r="N14" s="8">
        <f>N13*I4</f>
        <v>2369244.72</v>
      </c>
      <c r="O14" s="8">
        <f>O13*O4</f>
        <v>0</v>
      </c>
      <c r="P14" s="13">
        <f>P13*O4</f>
        <v>349175.6</v>
      </c>
      <c r="Q14" s="8">
        <f>Q13*O4</f>
        <v>261881.69999999998</v>
      </c>
      <c r="R14" s="8">
        <f>R13*O4</f>
        <v>960232.8999999999</v>
      </c>
      <c r="S14" s="9">
        <f>R14+Q14+P14+O14+N14+M14+L14+K14+J14+I14+H14+G14</f>
        <v>20235340.099999998</v>
      </c>
    </row>
    <row r="15" spans="1:19" ht="12.75">
      <c r="A15" s="195" t="s">
        <v>151</v>
      </c>
      <c r="B15" s="195"/>
      <c r="C15" s="115" t="s">
        <v>145</v>
      </c>
      <c r="D15" s="115"/>
      <c r="E15" s="115"/>
      <c r="F15" s="115"/>
      <c r="G15" s="15">
        <f>'График транспортирования'!D62</f>
        <v>8</v>
      </c>
      <c r="H15" s="15">
        <f>'График транспортирования'!E62</f>
        <v>18</v>
      </c>
      <c r="I15" s="15">
        <f>'График транспортирования'!F62</f>
        <v>23</v>
      </c>
      <c r="J15" s="15">
        <f>'График транспортирования'!G62</f>
        <v>30</v>
      </c>
      <c r="K15" s="15">
        <f>'График транспортирования'!H62</f>
        <v>30</v>
      </c>
      <c r="L15" s="15">
        <f>'График транспортирования'!I62</f>
        <v>30</v>
      </c>
      <c r="M15" s="15">
        <f>'График транспортирования'!J62</f>
        <v>23</v>
      </c>
      <c r="N15" s="15">
        <f>'График транспортирования'!K62</f>
        <v>23</v>
      </c>
      <c r="O15" s="15">
        <f>'График транспортирования'!L62</f>
        <v>0</v>
      </c>
      <c r="P15" s="15">
        <f>'График транспортирования'!M62</f>
        <v>4</v>
      </c>
      <c r="Q15" s="15">
        <f>'График транспортирования'!N62</f>
        <v>3</v>
      </c>
      <c r="R15" s="15">
        <f>'График транспортирования'!O62</f>
        <v>11</v>
      </c>
      <c r="S15" s="16">
        <f>G15+H15+I15+J15+K15+L15+M15+N15+O15+P15+Q15+R15</f>
        <v>203</v>
      </c>
    </row>
    <row r="16" spans="1:19" ht="12.75">
      <c r="A16" s="195"/>
      <c r="B16" s="195"/>
      <c r="C16" s="115" t="s">
        <v>165</v>
      </c>
      <c r="D16" s="115"/>
      <c r="E16" s="115"/>
      <c r="F16" s="115"/>
      <c r="G16" s="8">
        <f>G15*G4</f>
        <v>698351.2</v>
      </c>
      <c r="H16" s="8">
        <f>H15*G4</f>
        <v>1571290.2</v>
      </c>
      <c r="I16" s="8">
        <f>I15*I4</f>
        <v>2369244.72</v>
      </c>
      <c r="J16" s="8">
        <f>J15*I4</f>
        <v>3090319.2</v>
      </c>
      <c r="K16" s="8">
        <f>K15*I4</f>
        <v>3090319.2</v>
      </c>
      <c r="L16" s="8">
        <f>L15*I4</f>
        <v>3090319.2</v>
      </c>
      <c r="M16" s="8">
        <f>M15*I4</f>
        <v>2369244.72</v>
      </c>
      <c r="N16" s="8">
        <f>N15*I4</f>
        <v>2369244.72</v>
      </c>
      <c r="O16" s="8">
        <f>O15*O4</f>
        <v>0</v>
      </c>
      <c r="P16" s="13">
        <f>P15*O4</f>
        <v>349175.6</v>
      </c>
      <c r="Q16" s="8">
        <f>Q15*O4</f>
        <v>261881.69999999998</v>
      </c>
      <c r="R16" s="8">
        <f>R15*O4</f>
        <v>960232.8999999999</v>
      </c>
      <c r="S16" s="9">
        <f>R16+Q16+P16+O16+N16+M16+L16+K16+J16+I16+H16+G16</f>
        <v>20219623.359999996</v>
      </c>
    </row>
    <row r="17" spans="1:19" ht="12.75">
      <c r="A17" s="195" t="s">
        <v>152</v>
      </c>
      <c r="B17" s="195"/>
      <c r="C17" s="115" t="s">
        <v>145</v>
      </c>
      <c r="D17" s="115"/>
      <c r="E17" s="115"/>
      <c r="F17" s="115"/>
      <c r="G17" s="15">
        <f>'График транспортирования'!D70</f>
        <v>8</v>
      </c>
      <c r="H17" s="15">
        <f>'График транспортирования'!E70</f>
        <v>18</v>
      </c>
      <c r="I17" s="15">
        <f>'График транспортирования'!F70</f>
        <v>24</v>
      </c>
      <c r="J17" s="15">
        <f>'График транспортирования'!G70</f>
        <v>30</v>
      </c>
      <c r="K17" s="15">
        <f>'График транспортирования'!H70</f>
        <v>30</v>
      </c>
      <c r="L17" s="15">
        <f>'График транспортирования'!I70</f>
        <v>30</v>
      </c>
      <c r="M17" s="15">
        <f>'График транспортирования'!J70</f>
        <v>22</v>
      </c>
      <c r="N17" s="15">
        <f>'График транспортирования'!K70</f>
        <v>23</v>
      </c>
      <c r="O17" s="15">
        <f>'График транспортирования'!L70</f>
        <v>0</v>
      </c>
      <c r="P17" s="15">
        <f>'График транспортирования'!M70</f>
        <v>4</v>
      </c>
      <c r="Q17" s="15">
        <f>'График транспортирования'!N70</f>
        <v>4</v>
      </c>
      <c r="R17" s="15">
        <f>'График транспортирования'!O70</f>
        <v>10</v>
      </c>
      <c r="S17" s="16">
        <f>G17+H17+I17+J17+K17+L17+M17+N17+O17+P17+Q17+R17</f>
        <v>203</v>
      </c>
    </row>
    <row r="18" spans="1:19" ht="12.75">
      <c r="A18" s="195"/>
      <c r="B18" s="195"/>
      <c r="C18" s="115" t="s">
        <v>165</v>
      </c>
      <c r="D18" s="115"/>
      <c r="E18" s="115"/>
      <c r="F18" s="115"/>
      <c r="G18" s="8">
        <f>G17*G4</f>
        <v>698351.2</v>
      </c>
      <c r="H18" s="8">
        <f>H17*G4</f>
        <v>1571290.2</v>
      </c>
      <c r="I18" s="8">
        <f>I17*I4</f>
        <v>2472255.36</v>
      </c>
      <c r="J18" s="8">
        <f>J17*I4</f>
        <v>3090319.2</v>
      </c>
      <c r="K18" s="8">
        <f>K17*I4</f>
        <v>3090319.2</v>
      </c>
      <c r="L18" s="8">
        <f>L17*I4</f>
        <v>3090319.2</v>
      </c>
      <c r="M18" s="8">
        <f>M17*I4</f>
        <v>2266234.08</v>
      </c>
      <c r="N18" s="8">
        <f>N17*I4</f>
        <v>2369244.72</v>
      </c>
      <c r="O18" s="8">
        <f>O17*O4</f>
        <v>0</v>
      </c>
      <c r="P18" s="13">
        <f>P17*O4</f>
        <v>349175.6</v>
      </c>
      <c r="Q18" s="8">
        <f>Q17*O4</f>
        <v>349175.6</v>
      </c>
      <c r="R18" s="8">
        <f>R17*O4</f>
        <v>872939</v>
      </c>
      <c r="S18" s="9">
        <f>R18+Q18+P18+O18+N18+M18+L18+K18+J18+I18+H18+G18</f>
        <v>20219623.359999996</v>
      </c>
    </row>
    <row r="19" spans="1:19" ht="12.75">
      <c r="A19" s="195" t="s">
        <v>153</v>
      </c>
      <c r="B19" s="195"/>
      <c r="C19" s="115" t="s">
        <v>145</v>
      </c>
      <c r="D19" s="115"/>
      <c r="E19" s="115"/>
      <c r="F19" s="115"/>
      <c r="G19" s="15">
        <f>'График транспортирования'!D78</f>
        <v>8</v>
      </c>
      <c r="H19" s="15">
        <f>'График транспортирования'!E78</f>
        <v>18</v>
      </c>
      <c r="I19" s="15">
        <f>'График транспортирования'!F78</f>
        <v>24</v>
      </c>
      <c r="J19" s="15">
        <f>'График транспортирования'!G78</f>
        <v>30</v>
      </c>
      <c r="K19" s="15">
        <f>'График транспортирования'!H78</f>
        <v>30</v>
      </c>
      <c r="L19" s="15">
        <f>'График транспортирования'!I78</f>
        <v>30</v>
      </c>
      <c r="M19" s="15">
        <f>'График транспортирования'!J78</f>
        <v>22</v>
      </c>
      <c r="N19" s="15">
        <f>'График транспортирования'!K78</f>
        <v>23</v>
      </c>
      <c r="O19" s="15">
        <f>'График транспортирования'!L78</f>
        <v>0</v>
      </c>
      <c r="P19" s="15">
        <f>'График транспортирования'!M78</f>
        <v>4</v>
      </c>
      <c r="Q19" s="15">
        <f>'График транспортирования'!N78</f>
        <v>4</v>
      </c>
      <c r="R19" s="15">
        <f>'График транспортирования'!O78</f>
        <v>11</v>
      </c>
      <c r="S19" s="16">
        <f>G19+H19+I19+J19+K19+L19+M19+N19+O19+P19+Q19+R19</f>
        <v>204</v>
      </c>
    </row>
    <row r="20" spans="1:19" ht="12.75">
      <c r="A20" s="195"/>
      <c r="B20" s="195"/>
      <c r="C20" s="115" t="s">
        <v>165</v>
      </c>
      <c r="D20" s="115"/>
      <c r="E20" s="115"/>
      <c r="F20" s="115"/>
      <c r="G20" s="8">
        <f>G19*G4</f>
        <v>698351.2</v>
      </c>
      <c r="H20" s="8">
        <f>H19*G4</f>
        <v>1571290.2</v>
      </c>
      <c r="I20" s="8">
        <f>I19*I4</f>
        <v>2472255.36</v>
      </c>
      <c r="J20" s="8">
        <f>J19*I4</f>
        <v>3090319.2</v>
      </c>
      <c r="K20" s="8">
        <f>K19*I4</f>
        <v>3090319.2</v>
      </c>
      <c r="L20" s="8">
        <f>L19*I4</f>
        <v>3090319.2</v>
      </c>
      <c r="M20" s="8">
        <f>M19*I4</f>
        <v>2266234.08</v>
      </c>
      <c r="N20" s="8">
        <f>N19*I4</f>
        <v>2369244.72</v>
      </c>
      <c r="O20" s="8">
        <f>O19*O4</f>
        <v>0</v>
      </c>
      <c r="P20" s="13">
        <f>P19*O4</f>
        <v>349175.6</v>
      </c>
      <c r="Q20" s="8">
        <f>Q19*O4</f>
        <v>349175.6</v>
      </c>
      <c r="R20" s="8">
        <f>R19*O4</f>
        <v>960232.8999999999</v>
      </c>
      <c r="S20" s="9">
        <f>R20+Q20+P20+O20+N20+M20+L20+K20+J20+I20+H20+G20</f>
        <v>20306917.259999998</v>
      </c>
    </row>
    <row r="21" spans="1:19" ht="12.75">
      <c r="A21" s="195" t="s">
        <v>154</v>
      </c>
      <c r="B21" s="195"/>
      <c r="C21" s="115" t="s">
        <v>145</v>
      </c>
      <c r="D21" s="115"/>
      <c r="E21" s="115"/>
      <c r="F21" s="115"/>
      <c r="G21" s="15">
        <f>'График транспортирования'!D86</f>
        <v>7</v>
      </c>
      <c r="H21" s="15">
        <f>'График транспортирования'!E86</f>
        <v>18</v>
      </c>
      <c r="I21" s="15">
        <f>'График транспортирования'!F86</f>
        <v>24</v>
      </c>
      <c r="J21" s="15">
        <f>'График транспортирования'!G86</f>
        <v>30</v>
      </c>
      <c r="K21" s="15">
        <f>'График транспортирования'!H86</f>
        <v>30</v>
      </c>
      <c r="L21" s="15">
        <f>'График транспортирования'!I86</f>
        <v>30</v>
      </c>
      <c r="M21" s="15">
        <f>'График транспортирования'!J86</f>
        <v>23</v>
      </c>
      <c r="N21" s="15">
        <f>'График транспортирования'!K86</f>
        <v>23</v>
      </c>
      <c r="O21" s="15">
        <f>'График транспортирования'!L86</f>
        <v>0</v>
      </c>
      <c r="P21" s="15">
        <f>'График транспортирования'!M86</f>
        <v>3</v>
      </c>
      <c r="Q21" s="15">
        <f>'График транспортирования'!N86</f>
        <v>4</v>
      </c>
      <c r="R21" s="15">
        <f>'График транспортирования'!O86</f>
        <v>11</v>
      </c>
      <c r="S21" s="16">
        <f>G21+H21+I21+J21+K21+L21+M21+N21+O21+P21+Q21+R21</f>
        <v>203</v>
      </c>
    </row>
    <row r="22" spans="1:19" ht="12.75">
      <c r="A22" s="195"/>
      <c r="B22" s="195"/>
      <c r="C22" s="115" t="s">
        <v>165</v>
      </c>
      <c r="D22" s="115"/>
      <c r="E22" s="115"/>
      <c r="F22" s="115"/>
      <c r="G22" s="8">
        <f>G21*G4</f>
        <v>611057.2999999999</v>
      </c>
      <c r="H22" s="8">
        <f>H21*G4</f>
        <v>1571290.2</v>
      </c>
      <c r="I22" s="8">
        <f>I21*I4</f>
        <v>2472255.36</v>
      </c>
      <c r="J22" s="8">
        <f>J21*I4</f>
        <v>3090319.2</v>
      </c>
      <c r="K22" s="8">
        <f>K21*I4</f>
        <v>3090319.2</v>
      </c>
      <c r="L22" s="8">
        <f>L21*I4</f>
        <v>3090319.2</v>
      </c>
      <c r="M22" s="8">
        <f>M21*I4</f>
        <v>2369244.72</v>
      </c>
      <c r="N22" s="8">
        <f>N21*I4</f>
        <v>2369244.72</v>
      </c>
      <c r="O22" s="8">
        <f>O21*O4</f>
        <v>0</v>
      </c>
      <c r="P22" s="13">
        <f>P21*O4</f>
        <v>261881.69999999998</v>
      </c>
      <c r="Q22" s="8">
        <f>Q21*O4</f>
        <v>349175.6</v>
      </c>
      <c r="R22" s="8">
        <f>R21*O4</f>
        <v>960232.8999999999</v>
      </c>
      <c r="S22" s="9">
        <f>R22+Q22+P22+O22+N22+M22+L22+K22+J22+I22+H22+G22</f>
        <v>20235340.099999998</v>
      </c>
    </row>
    <row r="23" spans="1:19" ht="12.75">
      <c r="A23" s="195" t="s">
        <v>155</v>
      </c>
      <c r="B23" s="195"/>
      <c r="C23" s="115" t="s">
        <v>145</v>
      </c>
      <c r="D23" s="115"/>
      <c r="E23" s="115"/>
      <c r="F23" s="115"/>
      <c r="G23" s="15">
        <f>'График транспортирования'!D94</f>
        <v>7</v>
      </c>
      <c r="H23" s="15">
        <f>'График транспортирования'!E94</f>
        <v>18</v>
      </c>
      <c r="I23" s="15">
        <f>'График транспортирования'!F94</f>
        <v>24</v>
      </c>
      <c r="J23" s="15">
        <f>'График транспортирования'!G94</f>
        <v>30</v>
      </c>
      <c r="K23" s="15">
        <f>'График транспортирования'!H94</f>
        <v>30</v>
      </c>
      <c r="L23" s="15">
        <f>'График транспортирования'!I94</f>
        <v>30</v>
      </c>
      <c r="M23" s="15">
        <f>'График транспортирования'!J94</f>
        <v>23</v>
      </c>
      <c r="N23" s="15">
        <f>'График транспортирования'!K94</f>
        <v>23</v>
      </c>
      <c r="O23" s="15">
        <f>'График транспортирования'!L94</f>
        <v>0</v>
      </c>
      <c r="P23" s="15">
        <f>'График транспортирования'!M94</f>
        <v>3</v>
      </c>
      <c r="Q23" s="15">
        <f>'График транспортирования'!N94</f>
        <v>4</v>
      </c>
      <c r="R23" s="15">
        <f>'График транспортирования'!O94</f>
        <v>11</v>
      </c>
      <c r="S23" s="16">
        <f>G23+H23+I23+J23+K23+L23+M23+N23+O23+P23+Q23+R23</f>
        <v>203</v>
      </c>
    </row>
    <row r="24" spans="1:19" ht="12.75">
      <c r="A24" s="195"/>
      <c r="B24" s="195"/>
      <c r="C24" s="115" t="s">
        <v>165</v>
      </c>
      <c r="D24" s="115"/>
      <c r="E24" s="115"/>
      <c r="F24" s="115"/>
      <c r="G24" s="8">
        <f>G23*G4</f>
        <v>611057.2999999999</v>
      </c>
      <c r="H24" s="8">
        <f>H23*G4</f>
        <v>1571290.2</v>
      </c>
      <c r="I24" s="8">
        <f>I23*I4</f>
        <v>2472255.36</v>
      </c>
      <c r="J24" s="8">
        <f>J23*I4</f>
        <v>3090319.2</v>
      </c>
      <c r="K24" s="8">
        <f>K23*I4</f>
        <v>3090319.2</v>
      </c>
      <c r="L24" s="8">
        <f>L23*I4</f>
        <v>3090319.2</v>
      </c>
      <c r="M24" s="8">
        <f>M23*I4</f>
        <v>2369244.72</v>
      </c>
      <c r="N24" s="8">
        <f>N23*I4</f>
        <v>2369244.72</v>
      </c>
      <c r="O24" s="8">
        <f>O23*O4</f>
        <v>0</v>
      </c>
      <c r="P24" s="13">
        <f>P23*O4</f>
        <v>261881.69999999998</v>
      </c>
      <c r="Q24" s="8">
        <f>Q23*O4</f>
        <v>349175.6</v>
      </c>
      <c r="R24" s="8">
        <f>R23*O4</f>
        <v>960232.8999999999</v>
      </c>
      <c r="S24" s="9">
        <f>R24+Q24+P24+O24+N24+M24+L24+K24+J24+I24+H24+G24</f>
        <v>20235340.099999998</v>
      </c>
    </row>
    <row r="25" spans="1:19" ht="12.75">
      <c r="A25" s="195" t="s">
        <v>156</v>
      </c>
      <c r="B25" s="195"/>
      <c r="C25" s="115" t="s">
        <v>145</v>
      </c>
      <c r="D25" s="115"/>
      <c r="E25" s="115"/>
      <c r="F25" s="115"/>
      <c r="G25" s="15">
        <f>'График транспортирования'!D102</f>
        <v>8</v>
      </c>
      <c r="H25" s="15">
        <f>'График транспортирования'!E102</f>
        <v>17</v>
      </c>
      <c r="I25" s="15">
        <f>'График транспортирования'!F102</f>
        <v>24</v>
      </c>
      <c r="J25" s="15">
        <f>'График транспортирования'!G102</f>
        <v>30</v>
      </c>
      <c r="K25" s="15">
        <f>'График транспортирования'!H102</f>
        <v>30</v>
      </c>
      <c r="L25" s="15">
        <f>'График транспортирования'!I102</f>
        <v>30</v>
      </c>
      <c r="M25" s="15">
        <f>'График транспортирования'!J102</f>
        <v>23</v>
      </c>
      <c r="N25" s="15">
        <f>'График транспортирования'!K102</f>
        <v>23</v>
      </c>
      <c r="O25" s="15">
        <f>'График транспортирования'!L102</f>
        <v>0</v>
      </c>
      <c r="P25" s="15">
        <f>'График транспортирования'!M102</f>
        <v>4</v>
      </c>
      <c r="Q25" s="15">
        <f>'График транспортирования'!N102</f>
        <v>3</v>
      </c>
      <c r="R25" s="15">
        <f>'График транспортирования'!O102</f>
        <v>11</v>
      </c>
      <c r="S25" s="16">
        <f>G25+H25+I25+J25+K25+L25+M25+N25+O25+P25+Q25+R25</f>
        <v>203</v>
      </c>
    </row>
    <row r="26" spans="1:19" ht="12.75">
      <c r="A26" s="195"/>
      <c r="B26" s="195"/>
      <c r="C26" s="115" t="s">
        <v>165</v>
      </c>
      <c r="D26" s="115"/>
      <c r="E26" s="115"/>
      <c r="F26" s="115"/>
      <c r="G26" s="8">
        <f>G25*G4</f>
        <v>698351.2</v>
      </c>
      <c r="H26" s="8">
        <f>H25*G4</f>
        <v>1483996.2999999998</v>
      </c>
      <c r="I26" s="8">
        <f>I25*I4</f>
        <v>2472255.36</v>
      </c>
      <c r="J26" s="8">
        <f>J25*I4</f>
        <v>3090319.2</v>
      </c>
      <c r="K26" s="8">
        <f>K25*I4</f>
        <v>3090319.2</v>
      </c>
      <c r="L26" s="8">
        <f>L25*I4</f>
        <v>3090319.2</v>
      </c>
      <c r="M26" s="8">
        <f>M25*I4</f>
        <v>2369244.72</v>
      </c>
      <c r="N26" s="8">
        <f>N25*I4</f>
        <v>2369244.72</v>
      </c>
      <c r="O26" s="8">
        <f>O25*O4</f>
        <v>0</v>
      </c>
      <c r="P26" s="13">
        <f>P25*O4</f>
        <v>349175.6</v>
      </c>
      <c r="Q26" s="8">
        <f>Q25*O4</f>
        <v>261881.69999999998</v>
      </c>
      <c r="R26" s="8">
        <f>R25*O4</f>
        <v>960232.8999999999</v>
      </c>
      <c r="S26" s="9">
        <f>R26+Q26+P26+O26+N26+M26+L26+K26+J26+I26+H26+G26</f>
        <v>20235340.099999998</v>
      </c>
    </row>
    <row r="27" spans="1:19" ht="12.75">
      <c r="A27" s="195" t="s">
        <v>157</v>
      </c>
      <c r="B27" s="195"/>
      <c r="C27" s="115" t="s">
        <v>145</v>
      </c>
      <c r="D27" s="115"/>
      <c r="E27" s="115"/>
      <c r="F27" s="115"/>
      <c r="G27" s="15">
        <f>'График транспортирования'!D110</f>
        <v>8</v>
      </c>
      <c r="H27" s="15">
        <f>'График транспортирования'!E110</f>
        <v>18</v>
      </c>
      <c r="I27" s="15">
        <f>'График транспортирования'!F110</f>
        <v>23</v>
      </c>
      <c r="J27" s="15">
        <f>'График транспортирования'!G110</f>
        <v>30</v>
      </c>
      <c r="K27" s="15">
        <f>'График транспортирования'!H110</f>
        <v>30</v>
      </c>
      <c r="L27" s="15">
        <f>'График транспортирования'!I110</f>
        <v>30</v>
      </c>
      <c r="M27" s="15">
        <f>'График транспортирования'!J110</f>
        <v>23</v>
      </c>
      <c r="N27" s="15">
        <f>'График транспортирования'!K110</f>
        <v>23</v>
      </c>
      <c r="O27" s="15">
        <f>'График транспортирования'!L110</f>
        <v>0</v>
      </c>
      <c r="P27" s="15">
        <f>'График транспортирования'!M110</f>
        <v>4</v>
      </c>
      <c r="Q27" s="15">
        <f>'График транспортирования'!N110</f>
        <v>4</v>
      </c>
      <c r="R27" s="15">
        <f>'График транспортирования'!O110</f>
        <v>10</v>
      </c>
      <c r="S27" s="16">
        <f>G27+H27+I27+J27+K27+L27+M27+N27+O27+P27+Q27+R27</f>
        <v>203</v>
      </c>
    </row>
    <row r="28" spans="1:19" ht="12.75">
      <c r="A28" s="195"/>
      <c r="B28" s="195"/>
      <c r="C28" s="115" t="s">
        <v>165</v>
      </c>
      <c r="D28" s="115"/>
      <c r="E28" s="115"/>
      <c r="F28" s="115"/>
      <c r="G28" s="8">
        <f>G27*G4</f>
        <v>698351.2</v>
      </c>
      <c r="H28" s="8">
        <f>H27*G4</f>
        <v>1571290.2</v>
      </c>
      <c r="I28" s="8">
        <f>I27*I4</f>
        <v>2369244.72</v>
      </c>
      <c r="J28" s="8">
        <f>J27*I4</f>
        <v>3090319.2</v>
      </c>
      <c r="K28" s="8">
        <f>K27*I4</f>
        <v>3090319.2</v>
      </c>
      <c r="L28" s="8">
        <f>L27*I4</f>
        <v>3090319.2</v>
      </c>
      <c r="M28" s="8">
        <f>M27*I4</f>
        <v>2369244.72</v>
      </c>
      <c r="N28" s="8">
        <f>N27*I4</f>
        <v>2369244.72</v>
      </c>
      <c r="O28" s="8">
        <f>O27*O4</f>
        <v>0</v>
      </c>
      <c r="P28" s="13">
        <f>P27*O4</f>
        <v>349175.6</v>
      </c>
      <c r="Q28" s="8">
        <f>Q27*O4</f>
        <v>349175.6</v>
      </c>
      <c r="R28" s="8">
        <f>R27*O4</f>
        <v>872939</v>
      </c>
      <c r="S28" s="9">
        <f>R28+Q28+P28+O28+N28+M28+L28+K28+J28+I28+H28+G28</f>
        <v>20219623.359999996</v>
      </c>
    </row>
    <row r="29" spans="1:19" ht="12.75">
      <c r="A29" s="195" t="s">
        <v>158</v>
      </c>
      <c r="B29" s="195"/>
      <c r="C29" s="115" t="s">
        <v>145</v>
      </c>
      <c r="D29" s="115"/>
      <c r="E29" s="115"/>
      <c r="F29" s="115"/>
      <c r="G29" s="15">
        <f>'График транспортирования'!D118</f>
        <v>8</v>
      </c>
      <c r="H29" s="15">
        <f>'График транспортирования'!E118</f>
        <v>18</v>
      </c>
      <c r="I29" s="15">
        <f>'График транспортирования'!F118</f>
        <v>24</v>
      </c>
      <c r="J29" s="15">
        <f>'График транспортирования'!G118</f>
        <v>30</v>
      </c>
      <c r="K29" s="15">
        <f>'График транспортирования'!H118</f>
        <v>30</v>
      </c>
      <c r="L29" s="15">
        <f>'График транспортирования'!I118</f>
        <v>30</v>
      </c>
      <c r="M29" s="15">
        <f>'График транспортирования'!J118</f>
        <v>22</v>
      </c>
      <c r="N29" s="15">
        <f>'График транспортирования'!K118</f>
        <v>23</v>
      </c>
      <c r="O29" s="15">
        <f>'График транспортирования'!L118</f>
        <v>0</v>
      </c>
      <c r="P29" s="15">
        <f>'График транспортирования'!M118</f>
        <v>4</v>
      </c>
      <c r="Q29" s="15">
        <f>'График транспортирования'!N118</f>
        <v>4</v>
      </c>
      <c r="R29" s="15">
        <f>'График транспортирования'!O118</f>
        <v>10</v>
      </c>
      <c r="S29" s="16">
        <f>G29+H29+I29+J29+K29+L29+M29+N29+O29+P29+Q29+R29</f>
        <v>203</v>
      </c>
    </row>
    <row r="30" spans="1:19" ht="12.75">
      <c r="A30" s="195"/>
      <c r="B30" s="195"/>
      <c r="C30" s="115" t="s">
        <v>165</v>
      </c>
      <c r="D30" s="115"/>
      <c r="E30" s="115"/>
      <c r="F30" s="115"/>
      <c r="G30" s="8">
        <f>G29*G4</f>
        <v>698351.2</v>
      </c>
      <c r="H30" s="8">
        <f>H29*G4</f>
        <v>1571290.2</v>
      </c>
      <c r="I30" s="8">
        <f>I29*I4</f>
        <v>2472255.36</v>
      </c>
      <c r="J30" s="8">
        <f>J29*I4</f>
        <v>3090319.2</v>
      </c>
      <c r="K30" s="8">
        <f>K29*I4</f>
        <v>3090319.2</v>
      </c>
      <c r="L30" s="8">
        <f>L29*I4</f>
        <v>3090319.2</v>
      </c>
      <c r="M30" s="8">
        <f>M29*I4</f>
        <v>2266234.08</v>
      </c>
      <c r="N30" s="8">
        <f>N29*I4</f>
        <v>2369244.72</v>
      </c>
      <c r="O30" s="8">
        <f>O29*O4</f>
        <v>0</v>
      </c>
      <c r="P30" s="13">
        <f>P29*O4</f>
        <v>349175.6</v>
      </c>
      <c r="Q30" s="8">
        <f>Q29*O4</f>
        <v>349175.6</v>
      </c>
      <c r="R30" s="8">
        <f>R29*O4</f>
        <v>872939</v>
      </c>
      <c r="S30" s="9">
        <f>R30+Q30+P30+O30+N30+M30+L30+K30+J30+I30+H30+G30</f>
        <v>20219623.359999996</v>
      </c>
    </row>
  </sheetData>
  <sheetProtection/>
  <mergeCells count="48">
    <mergeCell ref="A23:B24"/>
    <mergeCell ref="C23:F23"/>
    <mergeCell ref="C24:F24"/>
    <mergeCell ref="A21:B22"/>
    <mergeCell ref="C21:F21"/>
    <mergeCell ref="C22:F22"/>
    <mergeCell ref="A29:B30"/>
    <mergeCell ref="C29:F29"/>
    <mergeCell ref="C30:F30"/>
    <mergeCell ref="A25:B26"/>
    <mergeCell ref="C25:F25"/>
    <mergeCell ref="C26:F26"/>
    <mergeCell ref="A27:B28"/>
    <mergeCell ref="C27:F27"/>
    <mergeCell ref="C28:F28"/>
    <mergeCell ref="A19:B20"/>
    <mergeCell ref="C19:F19"/>
    <mergeCell ref="C20:F20"/>
    <mergeCell ref="A15:B16"/>
    <mergeCell ref="C15:F15"/>
    <mergeCell ref="C16:F16"/>
    <mergeCell ref="C14:F14"/>
    <mergeCell ref="A17:B18"/>
    <mergeCell ref="C17:F17"/>
    <mergeCell ref="C18:F18"/>
    <mergeCell ref="A13:B14"/>
    <mergeCell ref="C13:F13"/>
    <mergeCell ref="C10:F10"/>
    <mergeCell ref="C7:F7"/>
    <mergeCell ref="C8:F8"/>
    <mergeCell ref="A11:B12"/>
    <mergeCell ref="C11:F11"/>
    <mergeCell ref="C12:F12"/>
    <mergeCell ref="A7:B8"/>
    <mergeCell ref="A9:B10"/>
    <mergeCell ref="C9:F9"/>
    <mergeCell ref="C5:F5"/>
    <mergeCell ref="A5:B6"/>
    <mergeCell ref="C6:F6"/>
    <mergeCell ref="C2:F3"/>
    <mergeCell ref="A2:B4"/>
    <mergeCell ref="C4:F4"/>
    <mergeCell ref="G4:H4"/>
    <mergeCell ref="I4:N4"/>
    <mergeCell ref="O4:R4"/>
    <mergeCell ref="A1:S1"/>
    <mergeCell ref="S2:S4"/>
    <mergeCell ref="G2:R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1">
      <selection activeCell="G6" sqref="G6"/>
    </sheetView>
  </sheetViews>
  <sheetFormatPr defaultColWidth="9.00390625" defaultRowHeight="12.75"/>
  <cols>
    <col min="19" max="19" width="10.375" style="0" bestFit="1" customWidth="1"/>
  </cols>
  <sheetData>
    <row r="1" spans="1:19" ht="18.75">
      <c r="A1" s="194" t="s">
        <v>167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</row>
    <row r="2" spans="1:19" ht="12.75">
      <c r="A2" s="206" t="s">
        <v>163</v>
      </c>
      <c r="B2" s="206"/>
      <c r="C2" s="115"/>
      <c r="D2" s="115"/>
      <c r="E2" s="115"/>
      <c r="F2" s="115"/>
      <c r="G2" s="115" t="s">
        <v>142</v>
      </c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205" t="s">
        <v>58</v>
      </c>
    </row>
    <row r="3" spans="1:19" ht="12.75">
      <c r="A3" s="206"/>
      <c r="B3" s="206"/>
      <c r="C3" s="115"/>
      <c r="D3" s="115"/>
      <c r="E3" s="115"/>
      <c r="F3" s="115"/>
      <c r="G3" s="13" t="s">
        <v>46</v>
      </c>
      <c r="H3" s="13" t="s">
        <v>47</v>
      </c>
      <c r="I3" s="13" t="s">
        <v>48</v>
      </c>
      <c r="J3" s="13" t="s">
        <v>49</v>
      </c>
      <c r="K3" s="13" t="s">
        <v>38</v>
      </c>
      <c r="L3" s="13" t="s">
        <v>39</v>
      </c>
      <c r="M3" s="13" t="s">
        <v>40</v>
      </c>
      <c r="N3" s="13" t="s">
        <v>41</v>
      </c>
      <c r="O3" s="13" t="s">
        <v>42</v>
      </c>
      <c r="P3" s="13" t="s">
        <v>43</v>
      </c>
      <c r="Q3" s="13" t="s">
        <v>44</v>
      </c>
      <c r="R3" s="13" t="s">
        <v>45</v>
      </c>
      <c r="S3" s="205"/>
    </row>
    <row r="4" spans="1:19" ht="12.75">
      <c r="A4" s="206"/>
      <c r="B4" s="206"/>
      <c r="C4" s="115" t="s">
        <v>168</v>
      </c>
      <c r="D4" s="115"/>
      <c r="E4" s="115"/>
      <c r="F4" s="115"/>
      <c r="G4" s="152">
        <v>11575.68</v>
      </c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8"/>
      <c r="S4" s="205"/>
    </row>
    <row r="5" spans="1:19" ht="12.75">
      <c r="A5" s="195" t="s">
        <v>144</v>
      </c>
      <c r="B5" s="195"/>
      <c r="C5" s="115" t="s">
        <v>145</v>
      </c>
      <c r="D5" s="115"/>
      <c r="E5" s="115"/>
      <c r="F5" s="115"/>
      <c r="G5" s="15">
        <f>'График транспортирования'!D22</f>
        <v>7</v>
      </c>
      <c r="H5" s="15">
        <f>'График транспортирования'!E22</f>
        <v>8</v>
      </c>
      <c r="I5" s="15">
        <f>'График транспортирования'!F22</f>
        <v>10</v>
      </c>
      <c r="J5" s="15">
        <f>'График транспортирования'!G22</f>
        <v>15</v>
      </c>
      <c r="K5" s="15">
        <f>'График транспортирования'!H22</f>
        <v>20</v>
      </c>
      <c r="L5" s="15">
        <f>'График транспортирования'!I22</f>
        <v>14</v>
      </c>
      <c r="M5" s="15">
        <f>'График транспортирования'!J22</f>
        <v>8</v>
      </c>
      <c r="N5" s="15">
        <f>'График транспортирования'!K22</f>
        <v>11</v>
      </c>
      <c r="O5" s="15">
        <f>'График транспортирования'!L22</f>
        <v>0</v>
      </c>
      <c r="P5" s="15">
        <f>'График транспортирования'!M22</f>
        <v>1</v>
      </c>
      <c r="Q5" s="15">
        <f>'График транспортирования'!N22</f>
        <v>2</v>
      </c>
      <c r="R5" s="15">
        <f>'График транспортирования'!O22</f>
        <v>4</v>
      </c>
      <c r="S5" s="16">
        <f>G5+H5+I5+J5+K5+L5+M5+N5+O5+P5+Q5+R5</f>
        <v>100</v>
      </c>
    </row>
    <row r="6" spans="1:19" ht="12.75">
      <c r="A6" s="195"/>
      <c r="B6" s="195"/>
      <c r="C6" s="115" t="s">
        <v>169</v>
      </c>
      <c r="D6" s="115"/>
      <c r="E6" s="115"/>
      <c r="F6" s="115"/>
      <c r="G6" s="8">
        <f>G5*G4</f>
        <v>81029.76000000001</v>
      </c>
      <c r="H6" s="8">
        <f>H5*G4</f>
        <v>92605.44</v>
      </c>
      <c r="I6" s="8">
        <f>I5*G4</f>
        <v>115756.8</v>
      </c>
      <c r="J6" s="8">
        <f>J5*G4</f>
        <v>173635.2</v>
      </c>
      <c r="K6" s="8">
        <f>K5*G4</f>
        <v>231513.6</v>
      </c>
      <c r="L6" s="8">
        <f>L5*G4</f>
        <v>162059.52000000002</v>
      </c>
      <c r="M6" s="13">
        <f>M5*G4</f>
        <v>92605.44</v>
      </c>
      <c r="N6" s="13">
        <f>N5*G4</f>
        <v>127332.48000000001</v>
      </c>
      <c r="O6" s="13">
        <f>O5*G4</f>
        <v>0</v>
      </c>
      <c r="P6" s="13">
        <f>P5*G4</f>
        <v>11575.68</v>
      </c>
      <c r="Q6" s="8">
        <f>Q5*G4</f>
        <v>23151.36</v>
      </c>
      <c r="R6" s="8">
        <f>R5*G4</f>
        <v>46302.72</v>
      </c>
      <c r="S6" s="9">
        <f>R6+Q6+P6+O6+N6+M6+L6+K6+J6+I6+H6+G6</f>
        <v>1157568</v>
      </c>
    </row>
    <row r="7" spans="1:19" ht="12.75">
      <c r="A7" s="195" t="s">
        <v>147</v>
      </c>
      <c r="B7" s="195"/>
      <c r="C7" s="115" t="s">
        <v>145</v>
      </c>
      <c r="D7" s="115"/>
      <c r="E7" s="115"/>
      <c r="F7" s="115"/>
      <c r="G7" s="15">
        <f>'График транспортирования'!D30</f>
        <v>12</v>
      </c>
      <c r="H7" s="15">
        <f>'График транспортирования'!E30</f>
        <v>18</v>
      </c>
      <c r="I7" s="15">
        <f>'График транспортирования'!F30</f>
        <v>24</v>
      </c>
      <c r="J7" s="15">
        <f>'График транспортирования'!G30</f>
        <v>30</v>
      </c>
      <c r="K7" s="15">
        <f>'График транспортирования'!H30</f>
        <v>30</v>
      </c>
      <c r="L7" s="15">
        <f>'График транспортирования'!I30</f>
        <v>30</v>
      </c>
      <c r="M7" s="15">
        <f>'График транспортирования'!J30</f>
        <v>22</v>
      </c>
      <c r="N7" s="15">
        <f>'График транспортирования'!K30</f>
        <v>23</v>
      </c>
      <c r="O7" s="15">
        <f>'График транспортирования'!L30</f>
        <v>0</v>
      </c>
      <c r="P7" s="15">
        <f>'График транспортирования'!M30</f>
        <v>4</v>
      </c>
      <c r="Q7" s="15">
        <f>'График транспортирования'!N30</f>
        <v>4</v>
      </c>
      <c r="R7" s="15">
        <f>'График транспортирования'!O30</f>
        <v>10</v>
      </c>
      <c r="S7" s="16">
        <f>G7+H7+I7+J7+K7+L7+M7+N7+O7+P7+Q7+R7</f>
        <v>207</v>
      </c>
    </row>
    <row r="8" spans="1:19" ht="12.75">
      <c r="A8" s="195"/>
      <c r="B8" s="195"/>
      <c r="C8" s="115" t="s">
        <v>169</v>
      </c>
      <c r="D8" s="115"/>
      <c r="E8" s="115"/>
      <c r="F8" s="115"/>
      <c r="G8" s="8">
        <f>G7*G4</f>
        <v>138908.16</v>
      </c>
      <c r="H8" s="8">
        <f>H7*G4</f>
        <v>208362.24</v>
      </c>
      <c r="I8" s="8">
        <f>I7*G4</f>
        <v>277816.32</v>
      </c>
      <c r="J8" s="8">
        <f>J7*G4</f>
        <v>347270.4</v>
      </c>
      <c r="K8" s="8">
        <f>K7*G4</f>
        <v>347270.4</v>
      </c>
      <c r="L8" s="8">
        <f>L7*G4</f>
        <v>347270.4</v>
      </c>
      <c r="M8" s="13">
        <f>M7*G4</f>
        <v>254664.96000000002</v>
      </c>
      <c r="N8" s="13">
        <f>N7*G4</f>
        <v>266240.64</v>
      </c>
      <c r="O8" s="13">
        <f>O7*G4</f>
        <v>0</v>
      </c>
      <c r="P8" s="13">
        <f>P7*G4</f>
        <v>46302.72</v>
      </c>
      <c r="Q8" s="8">
        <f>Q7*G4</f>
        <v>46302.72</v>
      </c>
      <c r="R8" s="8">
        <f>R7*G4</f>
        <v>115756.8</v>
      </c>
      <c r="S8" s="9">
        <f>R8+Q8+P8+O8+N8+M8+L8+K8+J8+I8+H8+G8</f>
        <v>2396165.7600000002</v>
      </c>
    </row>
    <row r="9" spans="1:19" ht="12.75">
      <c r="A9" s="195" t="s">
        <v>148</v>
      </c>
      <c r="B9" s="195"/>
      <c r="C9" s="115" t="s">
        <v>145</v>
      </c>
      <c r="D9" s="115"/>
      <c r="E9" s="115"/>
      <c r="F9" s="115"/>
      <c r="G9" s="15">
        <f>'График транспортирования'!D38</f>
        <v>8</v>
      </c>
      <c r="H9" s="15">
        <f>'График транспортирования'!E38</f>
        <v>18</v>
      </c>
      <c r="I9" s="15">
        <f>'График транспортирования'!F38</f>
        <v>24</v>
      </c>
      <c r="J9" s="15">
        <f>'График транспортирования'!G38</f>
        <v>30</v>
      </c>
      <c r="K9" s="15">
        <f>'График транспортирования'!H38</f>
        <v>30</v>
      </c>
      <c r="L9" s="15">
        <f>'График транспортирования'!I38</f>
        <v>30</v>
      </c>
      <c r="M9" s="15">
        <f>'График транспортирования'!J38</f>
        <v>23</v>
      </c>
      <c r="N9" s="15">
        <f>'График транспортирования'!K38</f>
        <v>23</v>
      </c>
      <c r="O9" s="15">
        <f>'График транспортирования'!L38</f>
        <v>0</v>
      </c>
      <c r="P9" s="15">
        <f>'График транспортирования'!M38</f>
        <v>3</v>
      </c>
      <c r="Q9" s="15">
        <f>'График транспортирования'!N38</f>
        <v>4</v>
      </c>
      <c r="R9" s="15">
        <f>'График транспортирования'!O38</f>
        <v>11</v>
      </c>
      <c r="S9" s="16">
        <f>G9+H9+I9+J9+K9+L9+M9+N9+O9+P9+Q9+R9</f>
        <v>204</v>
      </c>
    </row>
    <row r="10" spans="1:19" ht="12.75">
      <c r="A10" s="195"/>
      <c r="B10" s="195"/>
      <c r="C10" s="115" t="s">
        <v>169</v>
      </c>
      <c r="D10" s="115"/>
      <c r="E10" s="115"/>
      <c r="F10" s="115"/>
      <c r="G10" s="8">
        <f>G9*G4</f>
        <v>92605.44</v>
      </c>
      <c r="H10" s="8">
        <f>H9*G4</f>
        <v>208362.24</v>
      </c>
      <c r="I10" s="8">
        <f>I9*G4</f>
        <v>277816.32</v>
      </c>
      <c r="J10" s="8">
        <f>J9*G4</f>
        <v>347270.4</v>
      </c>
      <c r="K10" s="8">
        <f>K9*G4</f>
        <v>347270.4</v>
      </c>
      <c r="L10" s="8">
        <f>L9*G4</f>
        <v>347270.4</v>
      </c>
      <c r="M10" s="13">
        <f>M9*G4</f>
        <v>266240.64</v>
      </c>
      <c r="N10" s="13">
        <f>N9*G4</f>
        <v>266240.64</v>
      </c>
      <c r="O10" s="13">
        <f>O9*G4</f>
        <v>0</v>
      </c>
      <c r="P10" s="13">
        <f>P9*G4</f>
        <v>34727.04</v>
      </c>
      <c r="Q10" s="8">
        <f>Q9*G4</f>
        <v>46302.72</v>
      </c>
      <c r="R10" s="8">
        <f>R9*G4</f>
        <v>127332.48000000001</v>
      </c>
      <c r="S10" s="9">
        <f>R10+Q10+P10+O10+N10+M10+L10+K10+J10+I10+H10+G10</f>
        <v>2361438.7199999997</v>
      </c>
    </row>
    <row r="11" spans="1:19" ht="12.75">
      <c r="A11" s="195" t="s">
        <v>149</v>
      </c>
      <c r="B11" s="195"/>
      <c r="C11" s="115" t="s">
        <v>145</v>
      </c>
      <c r="D11" s="115"/>
      <c r="E11" s="115"/>
      <c r="F11" s="115"/>
      <c r="G11" s="15">
        <f>'График транспортирования'!D46</f>
        <v>7</v>
      </c>
      <c r="H11" s="15">
        <f>'График транспортирования'!E46</f>
        <v>18</v>
      </c>
      <c r="I11" s="15">
        <f>'График транспортирования'!F46</f>
        <v>24</v>
      </c>
      <c r="J11" s="15">
        <f>'График транспортирования'!G46</f>
        <v>30</v>
      </c>
      <c r="K11" s="15">
        <f>'График транспортирования'!H46</f>
        <v>30</v>
      </c>
      <c r="L11" s="15">
        <f>'График транспортирования'!I46</f>
        <v>30</v>
      </c>
      <c r="M11" s="15">
        <f>'График транспортирования'!J46</f>
        <v>23</v>
      </c>
      <c r="N11" s="15">
        <f>'График транспортирования'!K46</f>
        <v>23</v>
      </c>
      <c r="O11" s="15">
        <f>'График транспортирования'!L46</f>
        <v>0</v>
      </c>
      <c r="P11" s="15">
        <f>'График транспортирования'!M46</f>
        <v>3</v>
      </c>
      <c r="Q11" s="15">
        <f>'График транспортирования'!N46</f>
        <v>4</v>
      </c>
      <c r="R11" s="15">
        <f>'График транспортирования'!O46</f>
        <v>11</v>
      </c>
      <c r="S11" s="16">
        <f>G11+H11+I11+J11+K11+L11+M11+N11+O11+P11+Q11+R11</f>
        <v>203</v>
      </c>
    </row>
    <row r="12" spans="1:19" ht="12.75">
      <c r="A12" s="195"/>
      <c r="B12" s="195"/>
      <c r="C12" s="115" t="s">
        <v>169</v>
      </c>
      <c r="D12" s="115"/>
      <c r="E12" s="115"/>
      <c r="F12" s="115"/>
      <c r="G12" s="8">
        <f>G11*G4</f>
        <v>81029.76000000001</v>
      </c>
      <c r="H12" s="8">
        <f>H11*G4</f>
        <v>208362.24</v>
      </c>
      <c r="I12" s="8">
        <f>I11*G4</f>
        <v>277816.32</v>
      </c>
      <c r="J12" s="8">
        <f>J11*G4</f>
        <v>347270.4</v>
      </c>
      <c r="K12" s="8">
        <f>K11*G4</f>
        <v>347270.4</v>
      </c>
      <c r="L12" s="8">
        <f>L11*G4</f>
        <v>347270.4</v>
      </c>
      <c r="M12" s="13">
        <f>M11*G4</f>
        <v>266240.64</v>
      </c>
      <c r="N12" s="13">
        <f>N11*G4</f>
        <v>266240.64</v>
      </c>
      <c r="O12" s="13">
        <f>O11*G4</f>
        <v>0</v>
      </c>
      <c r="P12" s="13">
        <f>P11*G4</f>
        <v>34727.04</v>
      </c>
      <c r="Q12" s="8">
        <f>Q11*G4</f>
        <v>46302.72</v>
      </c>
      <c r="R12" s="8">
        <f>R11*G4</f>
        <v>127332.48000000001</v>
      </c>
      <c r="S12" s="9">
        <f>R12+Q12+P12+O12+N12+M12+L12+K12+J12+I12+H12+G12</f>
        <v>2349863.04</v>
      </c>
    </row>
    <row r="13" spans="1:19" ht="12.75">
      <c r="A13" s="195" t="s">
        <v>150</v>
      </c>
      <c r="B13" s="195"/>
      <c r="C13" s="115" t="s">
        <v>145</v>
      </c>
      <c r="D13" s="115"/>
      <c r="E13" s="115"/>
      <c r="F13" s="115"/>
      <c r="G13" s="15">
        <f>'График транспортирования'!D54</f>
        <v>8</v>
      </c>
      <c r="H13" s="15">
        <f>'График транспортирования'!E54</f>
        <v>17</v>
      </c>
      <c r="I13" s="15">
        <f>'График транспортирования'!F54</f>
        <v>24</v>
      </c>
      <c r="J13" s="15">
        <f>'График транспортирования'!G54</f>
        <v>30</v>
      </c>
      <c r="K13" s="15">
        <f>'График транспортирования'!H54</f>
        <v>30</v>
      </c>
      <c r="L13" s="15">
        <f>'График транспортирования'!I54</f>
        <v>30</v>
      </c>
      <c r="M13" s="15">
        <f>'График транспортирования'!J54</f>
        <v>23</v>
      </c>
      <c r="N13" s="15">
        <f>'График транспортирования'!K54</f>
        <v>23</v>
      </c>
      <c r="O13" s="15">
        <f>'График транспортирования'!L54</f>
        <v>0</v>
      </c>
      <c r="P13" s="15">
        <f>'График транспортирования'!M54</f>
        <v>4</v>
      </c>
      <c r="Q13" s="15">
        <f>'График транспортирования'!N54</f>
        <v>3</v>
      </c>
      <c r="R13" s="15">
        <f>'График транспортирования'!O54</f>
        <v>11</v>
      </c>
      <c r="S13" s="16">
        <f>G13+H13+I13+J13+K13+L13+M13+N13+O13+P13+Q13+R13</f>
        <v>203</v>
      </c>
    </row>
    <row r="14" spans="1:19" ht="12.75">
      <c r="A14" s="195"/>
      <c r="B14" s="195"/>
      <c r="C14" s="115" t="s">
        <v>169</v>
      </c>
      <c r="D14" s="115"/>
      <c r="E14" s="115"/>
      <c r="F14" s="115"/>
      <c r="G14" s="8">
        <f>G13*G4</f>
        <v>92605.44</v>
      </c>
      <c r="H14" s="8">
        <f>H13*G4</f>
        <v>196786.56</v>
      </c>
      <c r="I14" s="8">
        <f>I13*G4</f>
        <v>277816.32</v>
      </c>
      <c r="J14" s="8">
        <f>J13*G4</f>
        <v>347270.4</v>
      </c>
      <c r="K14" s="8">
        <f>K13*G4</f>
        <v>347270.4</v>
      </c>
      <c r="L14" s="8">
        <f>L13*G4</f>
        <v>347270.4</v>
      </c>
      <c r="M14" s="13">
        <f>M13*G4</f>
        <v>266240.64</v>
      </c>
      <c r="N14" s="13">
        <f>N13*G4</f>
        <v>266240.64</v>
      </c>
      <c r="O14" s="13">
        <f>O13*G4</f>
        <v>0</v>
      </c>
      <c r="P14" s="13">
        <f>P13*G4</f>
        <v>46302.72</v>
      </c>
      <c r="Q14" s="8">
        <f>Q13*G4</f>
        <v>34727.04</v>
      </c>
      <c r="R14" s="8">
        <f>R13*G4</f>
        <v>127332.48000000001</v>
      </c>
      <c r="S14" s="9">
        <f>R14+Q14+P14+O14+N14+M14+L14+K14+J14+I14+H14+G14</f>
        <v>2349863.0399999996</v>
      </c>
    </row>
    <row r="15" spans="1:19" ht="12.75">
      <c r="A15" s="195" t="s">
        <v>151</v>
      </c>
      <c r="B15" s="195"/>
      <c r="C15" s="115" t="s">
        <v>145</v>
      </c>
      <c r="D15" s="115"/>
      <c r="E15" s="115"/>
      <c r="F15" s="115"/>
      <c r="G15" s="15">
        <f>'График транспортирования'!D62</f>
        <v>8</v>
      </c>
      <c r="H15" s="15">
        <f>'График транспортирования'!E62</f>
        <v>18</v>
      </c>
      <c r="I15" s="15">
        <f>'График транспортирования'!F62</f>
        <v>23</v>
      </c>
      <c r="J15" s="15">
        <f>'График транспортирования'!G62</f>
        <v>30</v>
      </c>
      <c r="K15" s="15">
        <f>'График транспортирования'!H62</f>
        <v>30</v>
      </c>
      <c r="L15" s="15">
        <f>'График транспортирования'!I62</f>
        <v>30</v>
      </c>
      <c r="M15" s="15">
        <f>'График транспортирования'!J62</f>
        <v>23</v>
      </c>
      <c r="N15" s="15">
        <f>'График транспортирования'!K62</f>
        <v>23</v>
      </c>
      <c r="O15" s="15">
        <f>'График транспортирования'!L62</f>
        <v>0</v>
      </c>
      <c r="P15" s="15">
        <f>'График транспортирования'!M62</f>
        <v>4</v>
      </c>
      <c r="Q15" s="15">
        <f>'График транспортирования'!N62</f>
        <v>3</v>
      </c>
      <c r="R15" s="15">
        <f>'График транспортирования'!O62</f>
        <v>11</v>
      </c>
      <c r="S15" s="16">
        <f>G15+H15+I15+J15+K15+L15+M15+N15+O15+P15+Q15+R15</f>
        <v>203</v>
      </c>
    </row>
    <row r="16" spans="1:19" ht="12.75">
      <c r="A16" s="195"/>
      <c r="B16" s="195"/>
      <c r="C16" s="115" t="s">
        <v>169</v>
      </c>
      <c r="D16" s="115"/>
      <c r="E16" s="115"/>
      <c r="F16" s="115"/>
      <c r="G16" s="8">
        <f>G15*G4</f>
        <v>92605.44</v>
      </c>
      <c r="H16" s="8">
        <f>H15*G4</f>
        <v>208362.24</v>
      </c>
      <c r="I16" s="8">
        <f>I15*G4</f>
        <v>266240.64</v>
      </c>
      <c r="J16" s="8">
        <f>J15*G4</f>
        <v>347270.4</v>
      </c>
      <c r="K16" s="8">
        <f>K15*G4</f>
        <v>347270.4</v>
      </c>
      <c r="L16" s="8">
        <f>L15*G4</f>
        <v>347270.4</v>
      </c>
      <c r="M16" s="13">
        <f>M15*G4</f>
        <v>266240.64</v>
      </c>
      <c r="N16" s="13">
        <f>N15*G4</f>
        <v>266240.64</v>
      </c>
      <c r="O16" s="13">
        <f>O15*G4</f>
        <v>0</v>
      </c>
      <c r="P16" s="13">
        <f>P15*G4</f>
        <v>46302.72</v>
      </c>
      <c r="Q16" s="8">
        <f>Q15*G4</f>
        <v>34727.04</v>
      </c>
      <c r="R16" s="8">
        <f>R15*G4</f>
        <v>127332.48000000001</v>
      </c>
      <c r="S16" s="9">
        <f>R16+Q16+P16+O16+N16+M16+L16+K16+J16+I16+H16+G16</f>
        <v>2349863.0399999996</v>
      </c>
    </row>
    <row r="17" spans="1:19" ht="12.75">
      <c r="A17" s="195" t="s">
        <v>152</v>
      </c>
      <c r="B17" s="195"/>
      <c r="C17" s="152" t="s">
        <v>145</v>
      </c>
      <c r="D17" s="207"/>
      <c r="E17" s="207"/>
      <c r="F17" s="208"/>
      <c r="G17" s="15">
        <f>'График транспортирования'!D70</f>
        <v>8</v>
      </c>
      <c r="H17" s="15">
        <f>'График транспортирования'!E70</f>
        <v>18</v>
      </c>
      <c r="I17" s="15">
        <f>'График транспортирования'!F70</f>
        <v>24</v>
      </c>
      <c r="J17" s="15">
        <f>'График транспортирования'!G70</f>
        <v>30</v>
      </c>
      <c r="K17" s="15">
        <f>'График транспортирования'!H70</f>
        <v>30</v>
      </c>
      <c r="L17" s="15">
        <f>'График транспортирования'!I70</f>
        <v>30</v>
      </c>
      <c r="M17" s="15">
        <f>'График транспортирования'!J70</f>
        <v>22</v>
      </c>
      <c r="N17" s="15">
        <f>'График транспортирования'!K70</f>
        <v>23</v>
      </c>
      <c r="O17" s="15">
        <f>'График транспортирования'!L70</f>
        <v>0</v>
      </c>
      <c r="P17" s="15">
        <f>'График транспортирования'!M70</f>
        <v>4</v>
      </c>
      <c r="Q17" s="15">
        <f>'График транспортирования'!N70</f>
        <v>4</v>
      </c>
      <c r="R17" s="15">
        <f>'График транспортирования'!O70</f>
        <v>10</v>
      </c>
      <c r="S17" s="16">
        <f>G17+H17+I17+J17+K17+L17+M17+N17+O17+P17+Q17+R17</f>
        <v>203</v>
      </c>
    </row>
    <row r="18" spans="1:19" ht="12.75">
      <c r="A18" s="195"/>
      <c r="B18" s="195"/>
      <c r="C18" s="115" t="s">
        <v>169</v>
      </c>
      <c r="D18" s="115"/>
      <c r="E18" s="115"/>
      <c r="F18" s="115"/>
      <c r="G18" s="8">
        <f>G17*G4</f>
        <v>92605.44</v>
      </c>
      <c r="H18" s="8">
        <f>H17*G4</f>
        <v>208362.24</v>
      </c>
      <c r="I18" s="8">
        <f>I17*G4</f>
        <v>277816.32</v>
      </c>
      <c r="J18" s="8">
        <f>J17*G4</f>
        <v>347270.4</v>
      </c>
      <c r="K18" s="8">
        <f>K17*G4</f>
        <v>347270.4</v>
      </c>
      <c r="L18" s="8">
        <f>L17*G4</f>
        <v>347270.4</v>
      </c>
      <c r="M18" s="13">
        <f>M17*G4</f>
        <v>254664.96000000002</v>
      </c>
      <c r="N18" s="13">
        <f>N17*G4</f>
        <v>266240.64</v>
      </c>
      <c r="O18" s="13">
        <f>O17*G4</f>
        <v>0</v>
      </c>
      <c r="P18" s="13">
        <f>P17*G4</f>
        <v>46302.72</v>
      </c>
      <c r="Q18" s="8">
        <f>Q17*G4</f>
        <v>46302.72</v>
      </c>
      <c r="R18" s="8">
        <f>R17*G4</f>
        <v>115756.8</v>
      </c>
      <c r="S18" s="9">
        <f>R18+Q18+P18+O18+N18+M18+L18+K18+J18+I18+H18+G18</f>
        <v>2349863.04</v>
      </c>
    </row>
    <row r="19" spans="1:19" ht="12.75">
      <c r="A19" s="195" t="s">
        <v>153</v>
      </c>
      <c r="B19" s="195"/>
      <c r="C19" s="152" t="s">
        <v>145</v>
      </c>
      <c r="D19" s="207"/>
      <c r="E19" s="207"/>
      <c r="F19" s="208"/>
      <c r="G19" s="15">
        <f>'График транспортирования'!D78</f>
        <v>8</v>
      </c>
      <c r="H19" s="15">
        <f>'График транспортирования'!E78</f>
        <v>18</v>
      </c>
      <c r="I19" s="15">
        <f>'График транспортирования'!F78</f>
        <v>24</v>
      </c>
      <c r="J19" s="15">
        <f>'График транспортирования'!G78</f>
        <v>30</v>
      </c>
      <c r="K19" s="15">
        <f>'График транспортирования'!H78</f>
        <v>30</v>
      </c>
      <c r="L19" s="15">
        <f>'График транспортирования'!I78</f>
        <v>30</v>
      </c>
      <c r="M19" s="15">
        <f>'График транспортирования'!J78</f>
        <v>22</v>
      </c>
      <c r="N19" s="15">
        <f>'График транспортирования'!K78</f>
        <v>23</v>
      </c>
      <c r="O19" s="15">
        <f>'График транспортирования'!L78</f>
        <v>0</v>
      </c>
      <c r="P19" s="15">
        <f>'График транспортирования'!M78</f>
        <v>4</v>
      </c>
      <c r="Q19" s="15">
        <f>'График транспортирования'!N78</f>
        <v>4</v>
      </c>
      <c r="R19" s="15">
        <f>'График транспортирования'!O78</f>
        <v>11</v>
      </c>
      <c r="S19" s="16">
        <f>G19+H19+I19+J19+K19+L19+M19+N19+O19+P19+Q19+R19</f>
        <v>204</v>
      </c>
    </row>
    <row r="20" spans="1:19" ht="12.75">
      <c r="A20" s="195"/>
      <c r="B20" s="195"/>
      <c r="C20" s="115" t="s">
        <v>169</v>
      </c>
      <c r="D20" s="115"/>
      <c r="E20" s="115"/>
      <c r="F20" s="115"/>
      <c r="G20" s="8">
        <f>G19*G4</f>
        <v>92605.44</v>
      </c>
      <c r="H20" s="8">
        <f>H19*G4</f>
        <v>208362.24</v>
      </c>
      <c r="I20" s="8">
        <f>I19*G4</f>
        <v>277816.32</v>
      </c>
      <c r="J20" s="8">
        <f>J19*G4</f>
        <v>347270.4</v>
      </c>
      <c r="K20" s="8">
        <f>K19*G4</f>
        <v>347270.4</v>
      </c>
      <c r="L20" s="8">
        <f>L19*G4</f>
        <v>347270.4</v>
      </c>
      <c r="M20" s="13">
        <f>M19*G4</f>
        <v>254664.96000000002</v>
      </c>
      <c r="N20" s="13">
        <f>N19*G4</f>
        <v>266240.64</v>
      </c>
      <c r="O20" s="13">
        <f>O19*G4</f>
        <v>0</v>
      </c>
      <c r="P20" s="13">
        <f>P19*G4</f>
        <v>46302.72</v>
      </c>
      <c r="Q20" s="8">
        <f>Q19*G4</f>
        <v>46302.72</v>
      </c>
      <c r="R20" s="8">
        <f>R19*G4</f>
        <v>127332.48000000001</v>
      </c>
      <c r="S20" s="9">
        <f>R20+Q20+P20+O20+N20+M20+L20+K20+J20+I20+H20+G20</f>
        <v>2361438.7199999997</v>
      </c>
    </row>
    <row r="21" spans="1:19" ht="12.75">
      <c r="A21" s="195" t="s">
        <v>154</v>
      </c>
      <c r="B21" s="195"/>
      <c r="C21" s="152" t="s">
        <v>145</v>
      </c>
      <c r="D21" s="207"/>
      <c r="E21" s="207"/>
      <c r="F21" s="208"/>
      <c r="G21" s="15">
        <f>'График транспортирования'!D86</f>
        <v>7</v>
      </c>
      <c r="H21" s="15">
        <f>'График транспортирования'!E86</f>
        <v>18</v>
      </c>
      <c r="I21" s="15">
        <f>'График транспортирования'!F86</f>
        <v>24</v>
      </c>
      <c r="J21" s="15">
        <f>'График транспортирования'!G86</f>
        <v>30</v>
      </c>
      <c r="K21" s="15">
        <f>'График транспортирования'!H86</f>
        <v>30</v>
      </c>
      <c r="L21" s="15">
        <f>'График транспортирования'!I86</f>
        <v>30</v>
      </c>
      <c r="M21" s="15">
        <f>'График транспортирования'!J86</f>
        <v>23</v>
      </c>
      <c r="N21" s="15">
        <f>'График транспортирования'!K86</f>
        <v>23</v>
      </c>
      <c r="O21" s="15">
        <f>'График транспортирования'!L86</f>
        <v>0</v>
      </c>
      <c r="P21" s="15">
        <f>'График транспортирования'!M86</f>
        <v>3</v>
      </c>
      <c r="Q21" s="15">
        <f>'График транспортирования'!N86</f>
        <v>4</v>
      </c>
      <c r="R21" s="15">
        <f>'График транспортирования'!O86</f>
        <v>11</v>
      </c>
      <c r="S21" s="16">
        <f>G21+H21+I21+J21+K21+L21+M21+N21+O21+P21+Q21+R21</f>
        <v>203</v>
      </c>
    </row>
    <row r="22" spans="1:19" ht="12.75">
      <c r="A22" s="195"/>
      <c r="B22" s="195"/>
      <c r="C22" s="115" t="s">
        <v>169</v>
      </c>
      <c r="D22" s="115"/>
      <c r="E22" s="115"/>
      <c r="F22" s="115"/>
      <c r="G22" s="8">
        <f>G21*G4</f>
        <v>81029.76000000001</v>
      </c>
      <c r="H22" s="8">
        <f>H21*G4</f>
        <v>208362.24</v>
      </c>
      <c r="I22" s="8">
        <f>I21*G4</f>
        <v>277816.32</v>
      </c>
      <c r="J22" s="8">
        <f>J21*G4</f>
        <v>347270.4</v>
      </c>
      <c r="K22" s="8">
        <f>K21*G4</f>
        <v>347270.4</v>
      </c>
      <c r="L22" s="8">
        <f>L21*G4</f>
        <v>347270.4</v>
      </c>
      <c r="M22" s="13">
        <f>M21*G4</f>
        <v>266240.64</v>
      </c>
      <c r="N22" s="13">
        <f>N21*G4</f>
        <v>266240.64</v>
      </c>
      <c r="O22" s="13">
        <f>O21*G4</f>
        <v>0</v>
      </c>
      <c r="P22" s="13">
        <f>P21*G4</f>
        <v>34727.04</v>
      </c>
      <c r="Q22" s="8">
        <f>Q21*G4</f>
        <v>46302.72</v>
      </c>
      <c r="R22" s="8">
        <f>R21*G4</f>
        <v>127332.48000000001</v>
      </c>
      <c r="S22" s="9">
        <f>R22+Q22+P22+O22+N22+M22+L22+K22+J22+I22+H22+G22</f>
        <v>2349863.04</v>
      </c>
    </row>
    <row r="23" spans="1:19" ht="12.75">
      <c r="A23" s="195" t="s">
        <v>155</v>
      </c>
      <c r="B23" s="195"/>
      <c r="C23" s="152" t="s">
        <v>145</v>
      </c>
      <c r="D23" s="207"/>
      <c r="E23" s="207"/>
      <c r="F23" s="208"/>
      <c r="G23" s="15">
        <f>'График транспортирования'!D94</f>
        <v>7</v>
      </c>
      <c r="H23" s="15">
        <f>'График транспортирования'!E94</f>
        <v>18</v>
      </c>
      <c r="I23" s="15">
        <f>'График транспортирования'!F94</f>
        <v>24</v>
      </c>
      <c r="J23" s="15">
        <f>'График транспортирования'!G94</f>
        <v>30</v>
      </c>
      <c r="K23" s="15">
        <f>'График транспортирования'!H94</f>
        <v>30</v>
      </c>
      <c r="L23" s="15">
        <f>'График транспортирования'!I94</f>
        <v>30</v>
      </c>
      <c r="M23" s="15">
        <f>'График транспортирования'!J94</f>
        <v>23</v>
      </c>
      <c r="N23" s="15">
        <f>'График транспортирования'!K94</f>
        <v>23</v>
      </c>
      <c r="O23" s="15">
        <f>'График транспортирования'!L94</f>
        <v>0</v>
      </c>
      <c r="P23" s="15">
        <f>'График транспортирования'!M94</f>
        <v>3</v>
      </c>
      <c r="Q23" s="15">
        <f>'График транспортирования'!N94</f>
        <v>4</v>
      </c>
      <c r="R23" s="15">
        <f>'График транспортирования'!O94</f>
        <v>11</v>
      </c>
      <c r="S23" s="16">
        <f>G23+H23+I23+J23+K23+L23+M23+N23+O23+P23+Q23+R23</f>
        <v>203</v>
      </c>
    </row>
    <row r="24" spans="1:19" ht="12.75">
      <c r="A24" s="195"/>
      <c r="B24" s="195"/>
      <c r="C24" s="115" t="s">
        <v>169</v>
      </c>
      <c r="D24" s="115"/>
      <c r="E24" s="115"/>
      <c r="F24" s="115"/>
      <c r="G24" s="8">
        <f>G23*G4</f>
        <v>81029.76000000001</v>
      </c>
      <c r="H24" s="8">
        <f>H23*G4</f>
        <v>208362.24</v>
      </c>
      <c r="I24" s="8">
        <f>I23*G4</f>
        <v>277816.32</v>
      </c>
      <c r="J24" s="8">
        <f>J23*G4</f>
        <v>347270.4</v>
      </c>
      <c r="K24" s="8">
        <f>K23*G4</f>
        <v>347270.4</v>
      </c>
      <c r="L24" s="8">
        <f>L23*G4</f>
        <v>347270.4</v>
      </c>
      <c r="M24" s="13">
        <f>M23*G4</f>
        <v>266240.64</v>
      </c>
      <c r="N24" s="13">
        <f>N23*G4</f>
        <v>266240.64</v>
      </c>
      <c r="O24" s="13">
        <f>O23*G4</f>
        <v>0</v>
      </c>
      <c r="P24" s="13">
        <f>P23*G4</f>
        <v>34727.04</v>
      </c>
      <c r="Q24" s="8">
        <f>Q23*G4</f>
        <v>46302.72</v>
      </c>
      <c r="R24" s="8">
        <f>R23*G4</f>
        <v>127332.48000000001</v>
      </c>
      <c r="S24" s="9">
        <f>R24+Q24+P24+O24+N24+M24+L24+K24+J24+I24+H24+G24</f>
        <v>2349863.04</v>
      </c>
    </row>
    <row r="25" spans="1:19" ht="12.75">
      <c r="A25" s="195" t="s">
        <v>156</v>
      </c>
      <c r="B25" s="195"/>
      <c r="C25" s="152" t="s">
        <v>145</v>
      </c>
      <c r="D25" s="207"/>
      <c r="E25" s="207"/>
      <c r="F25" s="208"/>
      <c r="G25" s="15">
        <f>'График транспортирования'!D102</f>
        <v>8</v>
      </c>
      <c r="H25" s="15">
        <f>'График транспортирования'!E102</f>
        <v>17</v>
      </c>
      <c r="I25" s="15">
        <f>'График транспортирования'!F102</f>
        <v>24</v>
      </c>
      <c r="J25" s="15">
        <f>'График транспортирования'!G102</f>
        <v>30</v>
      </c>
      <c r="K25" s="15">
        <f>'График транспортирования'!H102</f>
        <v>30</v>
      </c>
      <c r="L25" s="15">
        <f>'График транспортирования'!I102</f>
        <v>30</v>
      </c>
      <c r="M25" s="15">
        <f>'График транспортирования'!J102</f>
        <v>23</v>
      </c>
      <c r="N25" s="15">
        <f>'График транспортирования'!K102</f>
        <v>23</v>
      </c>
      <c r="O25" s="15">
        <f>'График транспортирования'!L102</f>
        <v>0</v>
      </c>
      <c r="P25" s="15">
        <f>'График транспортирования'!M102</f>
        <v>4</v>
      </c>
      <c r="Q25" s="15">
        <f>'График транспортирования'!N102</f>
        <v>3</v>
      </c>
      <c r="R25" s="15">
        <f>'График транспортирования'!O102</f>
        <v>11</v>
      </c>
      <c r="S25" s="16">
        <f>G25+H25+I25+J25+K25+L25+M25+N25+O25+P25+Q25+R25</f>
        <v>203</v>
      </c>
    </row>
    <row r="26" spans="1:19" ht="12.75">
      <c r="A26" s="195"/>
      <c r="B26" s="195"/>
      <c r="C26" s="115" t="s">
        <v>169</v>
      </c>
      <c r="D26" s="115"/>
      <c r="E26" s="115"/>
      <c r="F26" s="115"/>
      <c r="G26" s="8">
        <f>G25*G4</f>
        <v>92605.44</v>
      </c>
      <c r="H26" s="8">
        <f>H25*G4</f>
        <v>196786.56</v>
      </c>
      <c r="I26" s="8">
        <f>I25*G4</f>
        <v>277816.32</v>
      </c>
      <c r="J26" s="8">
        <f>J25*G4</f>
        <v>347270.4</v>
      </c>
      <c r="K26" s="8">
        <f>K25*G4</f>
        <v>347270.4</v>
      </c>
      <c r="L26" s="8">
        <f>L25*G4</f>
        <v>347270.4</v>
      </c>
      <c r="M26" s="13">
        <f>M25*G4</f>
        <v>266240.64</v>
      </c>
      <c r="N26" s="13">
        <f>N25*G4</f>
        <v>266240.64</v>
      </c>
      <c r="O26" s="13">
        <f>O25*G4</f>
        <v>0</v>
      </c>
      <c r="P26" s="13">
        <f>P25*G4</f>
        <v>46302.72</v>
      </c>
      <c r="Q26" s="8">
        <f>Q25*G4</f>
        <v>34727.04</v>
      </c>
      <c r="R26" s="8">
        <f>R25*G4</f>
        <v>127332.48000000001</v>
      </c>
      <c r="S26" s="9">
        <f>R26+Q26+P26+O26+N26+M26+L26+K26+J26+I26+H26+G26</f>
        <v>2349863.0399999996</v>
      </c>
    </row>
    <row r="27" spans="1:19" ht="12.75">
      <c r="A27" s="195" t="s">
        <v>157</v>
      </c>
      <c r="B27" s="195"/>
      <c r="C27" s="152" t="s">
        <v>145</v>
      </c>
      <c r="D27" s="207"/>
      <c r="E27" s="207"/>
      <c r="F27" s="208"/>
      <c r="G27" s="15">
        <f>'График транспортирования'!D110</f>
        <v>8</v>
      </c>
      <c r="H27" s="15">
        <f>'График транспортирования'!E110</f>
        <v>18</v>
      </c>
      <c r="I27" s="15">
        <f>'График транспортирования'!F110</f>
        <v>23</v>
      </c>
      <c r="J27" s="15">
        <f>'График транспортирования'!G110</f>
        <v>30</v>
      </c>
      <c r="K27" s="15">
        <f>'График транспортирования'!H110</f>
        <v>30</v>
      </c>
      <c r="L27" s="15">
        <f>'График транспортирования'!I110</f>
        <v>30</v>
      </c>
      <c r="M27" s="15">
        <f>'График транспортирования'!J110</f>
        <v>23</v>
      </c>
      <c r="N27" s="15">
        <f>'График транспортирования'!K110</f>
        <v>23</v>
      </c>
      <c r="O27" s="15">
        <f>'График транспортирования'!L110</f>
        <v>0</v>
      </c>
      <c r="P27" s="15">
        <f>'График транспортирования'!M110</f>
        <v>4</v>
      </c>
      <c r="Q27" s="15">
        <f>'График транспортирования'!N110</f>
        <v>4</v>
      </c>
      <c r="R27" s="15">
        <f>'График транспортирования'!O110</f>
        <v>10</v>
      </c>
      <c r="S27" s="16">
        <f>G27+H27+I27+J27+K27+L27+M27+N27+O27+P27+Q27+R27</f>
        <v>203</v>
      </c>
    </row>
    <row r="28" spans="1:19" ht="12.75">
      <c r="A28" s="195"/>
      <c r="B28" s="195"/>
      <c r="C28" s="115" t="s">
        <v>169</v>
      </c>
      <c r="D28" s="115"/>
      <c r="E28" s="115"/>
      <c r="F28" s="115"/>
      <c r="G28" s="8">
        <f>G27*G4</f>
        <v>92605.44</v>
      </c>
      <c r="H28" s="8">
        <f>H27*G4</f>
        <v>208362.24</v>
      </c>
      <c r="I28" s="8">
        <f>I27*G4</f>
        <v>266240.64</v>
      </c>
      <c r="J28" s="8">
        <f>J27*G4</f>
        <v>347270.4</v>
      </c>
      <c r="K28" s="8">
        <f>K27*G4</f>
        <v>347270.4</v>
      </c>
      <c r="L28" s="8">
        <f>L27*G4</f>
        <v>347270.4</v>
      </c>
      <c r="M28" s="13">
        <f>M27*G4</f>
        <v>266240.64</v>
      </c>
      <c r="N28" s="13">
        <f>N27*G4</f>
        <v>266240.64</v>
      </c>
      <c r="O28" s="13">
        <f>O27*G4</f>
        <v>0</v>
      </c>
      <c r="P28" s="13">
        <f>P27*G4</f>
        <v>46302.72</v>
      </c>
      <c r="Q28" s="8">
        <f>Q27*G4</f>
        <v>46302.72</v>
      </c>
      <c r="R28" s="8">
        <f>R27*G4</f>
        <v>115756.8</v>
      </c>
      <c r="S28" s="9">
        <f>R28+Q28+P28+O28+N28+M28+L28+K28+J28+I28+H28+G28</f>
        <v>2349863.0399999996</v>
      </c>
    </row>
    <row r="29" spans="1:19" ht="12.75">
      <c r="A29" s="195" t="s">
        <v>158</v>
      </c>
      <c r="B29" s="195"/>
      <c r="C29" s="152" t="s">
        <v>145</v>
      </c>
      <c r="D29" s="207"/>
      <c r="E29" s="207"/>
      <c r="F29" s="208"/>
      <c r="G29" s="15">
        <f>'График транспортирования'!D118</f>
        <v>8</v>
      </c>
      <c r="H29" s="15">
        <f>'График транспортирования'!E118</f>
        <v>18</v>
      </c>
      <c r="I29" s="15">
        <f>'График транспортирования'!F118</f>
        <v>24</v>
      </c>
      <c r="J29" s="15">
        <f>'График транспортирования'!G118</f>
        <v>30</v>
      </c>
      <c r="K29" s="15">
        <f>'График транспортирования'!H118</f>
        <v>30</v>
      </c>
      <c r="L29" s="15">
        <f>'График транспортирования'!I118</f>
        <v>30</v>
      </c>
      <c r="M29" s="15">
        <f>'График транспортирования'!J118</f>
        <v>22</v>
      </c>
      <c r="N29" s="15">
        <f>'График транспортирования'!K118</f>
        <v>23</v>
      </c>
      <c r="O29" s="15">
        <f>'График транспортирования'!L118</f>
        <v>0</v>
      </c>
      <c r="P29" s="15">
        <f>'График транспортирования'!M118</f>
        <v>4</v>
      </c>
      <c r="Q29" s="15">
        <f>'График транспортирования'!N118</f>
        <v>4</v>
      </c>
      <c r="R29" s="15">
        <f>'График транспортирования'!O118</f>
        <v>10</v>
      </c>
      <c r="S29" s="16">
        <f>G29+H29+I29+J29+K29+L29+M29+N29+O29+P29+Q29+R29</f>
        <v>203</v>
      </c>
    </row>
    <row r="30" spans="1:19" ht="12.75">
      <c r="A30" s="195"/>
      <c r="B30" s="195"/>
      <c r="C30" s="115" t="s">
        <v>169</v>
      </c>
      <c r="D30" s="115"/>
      <c r="E30" s="115"/>
      <c r="F30" s="115"/>
      <c r="G30" s="8">
        <f>G29*G4</f>
        <v>92605.44</v>
      </c>
      <c r="H30" s="8">
        <f>H29*G4</f>
        <v>208362.24</v>
      </c>
      <c r="I30" s="8">
        <f>I29*G4</f>
        <v>277816.32</v>
      </c>
      <c r="J30" s="8">
        <f>J29*G4</f>
        <v>347270.4</v>
      </c>
      <c r="K30" s="8">
        <f>K29*G4</f>
        <v>347270.4</v>
      </c>
      <c r="L30" s="8">
        <f>L29*G4</f>
        <v>347270.4</v>
      </c>
      <c r="M30" s="13">
        <f>M29*G4</f>
        <v>254664.96000000002</v>
      </c>
      <c r="N30" s="13">
        <f>N29*G4</f>
        <v>266240.64</v>
      </c>
      <c r="O30" s="13">
        <f>O29*G4</f>
        <v>0</v>
      </c>
      <c r="P30" s="13">
        <f>P29*G4</f>
        <v>46302.72</v>
      </c>
      <c r="Q30" s="8">
        <f>Q29*G4</f>
        <v>46302.72</v>
      </c>
      <c r="R30" s="8">
        <f>R29*G4</f>
        <v>115756.8</v>
      </c>
      <c r="S30" s="9">
        <f>R30+Q30+P30+O30+N30+M30+L30+K30+J30+I30+H30+G30</f>
        <v>2349863.04</v>
      </c>
    </row>
  </sheetData>
  <sheetProtection/>
  <mergeCells count="46">
    <mergeCell ref="A29:B30"/>
    <mergeCell ref="C29:F29"/>
    <mergeCell ref="C30:F30"/>
    <mergeCell ref="A25:B26"/>
    <mergeCell ref="C25:F25"/>
    <mergeCell ref="C26:F26"/>
    <mergeCell ref="A27:B28"/>
    <mergeCell ref="C27:F27"/>
    <mergeCell ref="C28:F28"/>
    <mergeCell ref="A23:B24"/>
    <mergeCell ref="C23:F23"/>
    <mergeCell ref="C24:F24"/>
    <mergeCell ref="A19:B20"/>
    <mergeCell ref="C19:F19"/>
    <mergeCell ref="C20:F20"/>
    <mergeCell ref="A21:B22"/>
    <mergeCell ref="C21:F21"/>
    <mergeCell ref="C22:F22"/>
    <mergeCell ref="A15:B16"/>
    <mergeCell ref="C15:F15"/>
    <mergeCell ref="C16:F16"/>
    <mergeCell ref="A17:B18"/>
    <mergeCell ref="C17:F17"/>
    <mergeCell ref="C18:F18"/>
    <mergeCell ref="A11:B12"/>
    <mergeCell ref="C11:F11"/>
    <mergeCell ref="C12:F12"/>
    <mergeCell ref="A13:B14"/>
    <mergeCell ref="C13:F13"/>
    <mergeCell ref="C14:F14"/>
    <mergeCell ref="C5:F5"/>
    <mergeCell ref="C6:F6"/>
    <mergeCell ref="G4:R4"/>
    <mergeCell ref="A9:B10"/>
    <mergeCell ref="C9:F9"/>
    <mergeCell ref="C10:F10"/>
    <mergeCell ref="A7:B8"/>
    <mergeCell ref="C7:F7"/>
    <mergeCell ref="C8:F8"/>
    <mergeCell ref="A5:B6"/>
    <mergeCell ref="A1:S1"/>
    <mergeCell ref="A2:B4"/>
    <mergeCell ref="C2:F3"/>
    <mergeCell ref="G2:R2"/>
    <mergeCell ref="S2:S4"/>
    <mergeCell ref="C4:F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1">
      <selection activeCell="T3" sqref="T3"/>
    </sheetView>
  </sheetViews>
  <sheetFormatPr defaultColWidth="9.00390625" defaultRowHeight="12.75"/>
  <sheetData>
    <row r="1" spans="1:19" ht="18.75">
      <c r="A1" s="194" t="s">
        <v>170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</row>
    <row r="2" spans="1:19" ht="12.75">
      <c r="A2" s="206" t="s">
        <v>163</v>
      </c>
      <c r="B2" s="206"/>
      <c r="C2" s="115"/>
      <c r="D2" s="115"/>
      <c r="E2" s="115"/>
      <c r="F2" s="115"/>
      <c r="G2" s="115" t="s">
        <v>142</v>
      </c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205" t="s">
        <v>58</v>
      </c>
    </row>
    <row r="3" spans="1:19" ht="12.75">
      <c r="A3" s="206"/>
      <c r="B3" s="206"/>
      <c r="C3" s="115"/>
      <c r="D3" s="115"/>
      <c r="E3" s="115"/>
      <c r="F3" s="115"/>
      <c r="G3" s="13" t="s">
        <v>46</v>
      </c>
      <c r="H3" s="13" t="s">
        <v>47</v>
      </c>
      <c r="I3" s="13" t="s">
        <v>48</v>
      </c>
      <c r="J3" s="13" t="s">
        <v>49</v>
      </c>
      <c r="K3" s="13" t="s">
        <v>38</v>
      </c>
      <c r="L3" s="13" t="s">
        <v>39</v>
      </c>
      <c r="M3" s="13" t="s">
        <v>40</v>
      </c>
      <c r="N3" s="13" t="s">
        <v>41</v>
      </c>
      <c r="O3" s="13" t="s">
        <v>42</v>
      </c>
      <c r="P3" s="13" t="s">
        <v>43</v>
      </c>
      <c r="Q3" s="13" t="s">
        <v>44</v>
      </c>
      <c r="R3" s="13" t="s">
        <v>45</v>
      </c>
      <c r="S3" s="205"/>
    </row>
    <row r="4" spans="1:19" ht="12.75">
      <c r="A4" s="206"/>
      <c r="B4" s="206"/>
      <c r="C4" s="115" t="s">
        <v>171</v>
      </c>
      <c r="D4" s="115"/>
      <c r="E4" s="115"/>
      <c r="F4" s="115"/>
      <c r="G4" s="152">
        <v>4166</v>
      </c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8"/>
      <c r="S4" s="205"/>
    </row>
    <row r="5" spans="1:19" ht="12.75">
      <c r="A5" s="195" t="s">
        <v>144</v>
      </c>
      <c r="B5" s="195"/>
      <c r="C5" s="115" t="s">
        <v>145</v>
      </c>
      <c r="D5" s="115"/>
      <c r="E5" s="115"/>
      <c r="F5" s="115"/>
      <c r="G5" s="15">
        <f>'График транспортирования'!D22</f>
        <v>7</v>
      </c>
      <c r="H5" s="15">
        <f>'График транспортирования'!E22</f>
        <v>8</v>
      </c>
      <c r="I5" s="15">
        <f>'График транспортирования'!F22</f>
        <v>10</v>
      </c>
      <c r="J5" s="15">
        <f>'График транспортирования'!G22</f>
        <v>15</v>
      </c>
      <c r="K5" s="15">
        <f>'График транспортирования'!H22</f>
        <v>20</v>
      </c>
      <c r="L5" s="15">
        <f>'График транспортирования'!I22</f>
        <v>14</v>
      </c>
      <c r="M5" s="15">
        <f>'График транспортирования'!J22</f>
        <v>8</v>
      </c>
      <c r="N5" s="15">
        <f>'График транспортирования'!K22</f>
        <v>11</v>
      </c>
      <c r="O5" s="15">
        <f>'График транспортирования'!L22</f>
        <v>0</v>
      </c>
      <c r="P5" s="15">
        <f>'График транспортирования'!M22</f>
        <v>1</v>
      </c>
      <c r="Q5" s="15">
        <f>'График транспортирования'!N22</f>
        <v>2</v>
      </c>
      <c r="R5" s="15">
        <f>'График транспортирования'!O22</f>
        <v>4</v>
      </c>
      <c r="S5" s="16">
        <f>G5+H5+I5+J5+K5+L5+M5+N5+O5+P5+Q5+R5</f>
        <v>100</v>
      </c>
    </row>
    <row r="6" spans="1:19" ht="12.75">
      <c r="A6" s="195"/>
      <c r="B6" s="195"/>
      <c r="C6" s="115" t="s">
        <v>172</v>
      </c>
      <c r="D6" s="115"/>
      <c r="E6" s="115"/>
      <c r="F6" s="115"/>
      <c r="G6" s="8">
        <f>G5*G4</f>
        <v>29162</v>
      </c>
      <c r="H6" s="8">
        <f>H5*G4</f>
        <v>33328</v>
      </c>
      <c r="I6" s="8">
        <f>I5*G4</f>
        <v>41660</v>
      </c>
      <c r="J6" s="8">
        <f>J5*G4</f>
        <v>62490</v>
      </c>
      <c r="K6" s="8">
        <f>K5*G4</f>
        <v>83320</v>
      </c>
      <c r="L6" s="8">
        <f>L5*G4</f>
        <v>58324</v>
      </c>
      <c r="M6" s="8">
        <f>M5*G4</f>
        <v>33328</v>
      </c>
      <c r="N6" s="8">
        <f>N5*G4</f>
        <v>45826</v>
      </c>
      <c r="O6" s="8">
        <f>O5*G4</f>
        <v>0</v>
      </c>
      <c r="P6" s="8">
        <f>P5*G4</f>
        <v>4166</v>
      </c>
      <c r="Q6" s="8">
        <f>Q5*G4</f>
        <v>8332</v>
      </c>
      <c r="R6" s="8">
        <f>R5*G4</f>
        <v>16664</v>
      </c>
      <c r="S6" s="9">
        <f>R6+Q6+P6+O6+N6+M6+L6+K6+J6+I6+H6+G6</f>
        <v>416600</v>
      </c>
    </row>
    <row r="7" spans="1:19" ht="12.75">
      <c r="A7" s="195" t="s">
        <v>147</v>
      </c>
      <c r="B7" s="195"/>
      <c r="C7" s="115" t="s">
        <v>145</v>
      </c>
      <c r="D7" s="115"/>
      <c r="E7" s="115"/>
      <c r="F7" s="115"/>
      <c r="G7" s="15">
        <f>'График транспортирования'!D30</f>
        <v>12</v>
      </c>
      <c r="H7" s="15">
        <f>'График транспортирования'!E30</f>
        <v>18</v>
      </c>
      <c r="I7" s="15">
        <f>'График транспортирования'!F30</f>
        <v>24</v>
      </c>
      <c r="J7" s="15">
        <f>'График транспортирования'!G30</f>
        <v>30</v>
      </c>
      <c r="K7" s="15">
        <f>'График транспортирования'!H30</f>
        <v>30</v>
      </c>
      <c r="L7" s="15">
        <f>'График транспортирования'!I30</f>
        <v>30</v>
      </c>
      <c r="M7" s="15">
        <f>'График транспортирования'!J30</f>
        <v>22</v>
      </c>
      <c r="N7" s="15">
        <f>'График транспортирования'!K30</f>
        <v>23</v>
      </c>
      <c r="O7" s="15">
        <f>'График транспортирования'!L30</f>
        <v>0</v>
      </c>
      <c r="P7" s="15">
        <f>'График транспортирования'!M30</f>
        <v>4</v>
      </c>
      <c r="Q7" s="15">
        <f>'График транспортирования'!N30</f>
        <v>4</v>
      </c>
      <c r="R7" s="15">
        <f>'График транспортирования'!O30</f>
        <v>10</v>
      </c>
      <c r="S7" s="16">
        <f>G7+H7+I7+J7+K7+L7+M7+N7+O7+P7+Q7+R7</f>
        <v>207</v>
      </c>
    </row>
    <row r="8" spans="1:19" ht="12.75">
      <c r="A8" s="195"/>
      <c r="B8" s="195"/>
      <c r="C8" s="115" t="s">
        <v>172</v>
      </c>
      <c r="D8" s="115"/>
      <c r="E8" s="115"/>
      <c r="F8" s="115"/>
      <c r="G8" s="8">
        <f>G7*G4</f>
        <v>49992</v>
      </c>
      <c r="H8" s="8">
        <f>H7*G4</f>
        <v>74988</v>
      </c>
      <c r="I8" s="8">
        <f>I7*G4</f>
        <v>99984</v>
      </c>
      <c r="J8" s="8">
        <f>J7*G4</f>
        <v>124980</v>
      </c>
      <c r="K8" s="8">
        <f>K7*G4</f>
        <v>124980</v>
      </c>
      <c r="L8" s="8">
        <f>L7*G4</f>
        <v>124980</v>
      </c>
      <c r="M8" s="8">
        <f>M7*G4</f>
        <v>91652</v>
      </c>
      <c r="N8" s="8">
        <f>N7*G4</f>
        <v>95818</v>
      </c>
      <c r="O8" s="8">
        <f>O7*G4</f>
        <v>0</v>
      </c>
      <c r="P8" s="8">
        <f>P7*G4</f>
        <v>16664</v>
      </c>
      <c r="Q8" s="8">
        <f>Q7*G4</f>
        <v>16664</v>
      </c>
      <c r="R8" s="8">
        <f>R7*G4</f>
        <v>41660</v>
      </c>
      <c r="S8" s="9">
        <f>R8+Q8+P8+O8+N8+M8+L8+K8+J8+I8+H8+G8</f>
        <v>862362</v>
      </c>
    </row>
    <row r="9" spans="1:19" ht="12.75">
      <c r="A9" s="195" t="s">
        <v>148</v>
      </c>
      <c r="B9" s="195"/>
      <c r="C9" s="115" t="s">
        <v>145</v>
      </c>
      <c r="D9" s="115"/>
      <c r="E9" s="115"/>
      <c r="F9" s="115"/>
      <c r="G9" s="15">
        <f>'График транспортирования'!D38</f>
        <v>8</v>
      </c>
      <c r="H9" s="15">
        <f>'График транспортирования'!E38</f>
        <v>18</v>
      </c>
      <c r="I9" s="15">
        <f>'График транспортирования'!F38</f>
        <v>24</v>
      </c>
      <c r="J9" s="15">
        <f>'График транспортирования'!G38</f>
        <v>30</v>
      </c>
      <c r="K9" s="15">
        <f>'График транспортирования'!H38</f>
        <v>30</v>
      </c>
      <c r="L9" s="15">
        <f>'График транспортирования'!I38</f>
        <v>30</v>
      </c>
      <c r="M9" s="15">
        <f>'График транспортирования'!J38</f>
        <v>23</v>
      </c>
      <c r="N9" s="15">
        <f>'График транспортирования'!K38</f>
        <v>23</v>
      </c>
      <c r="O9" s="15">
        <f>'График транспортирования'!L38</f>
        <v>0</v>
      </c>
      <c r="P9" s="15">
        <f>'График транспортирования'!M38</f>
        <v>3</v>
      </c>
      <c r="Q9" s="15">
        <f>'График транспортирования'!N38</f>
        <v>4</v>
      </c>
      <c r="R9" s="15">
        <f>'График транспортирования'!O38</f>
        <v>11</v>
      </c>
      <c r="S9" s="16">
        <f>G9+H9+I9+J9+K9+L9+M9+N9+O9+P9+Q9+R9</f>
        <v>204</v>
      </c>
    </row>
    <row r="10" spans="1:19" ht="12.75">
      <c r="A10" s="195"/>
      <c r="B10" s="195"/>
      <c r="C10" s="115" t="s">
        <v>172</v>
      </c>
      <c r="D10" s="115"/>
      <c r="E10" s="115"/>
      <c r="F10" s="115"/>
      <c r="G10" s="8">
        <f>G9*G4</f>
        <v>33328</v>
      </c>
      <c r="H10" s="8">
        <f>H9*G4</f>
        <v>74988</v>
      </c>
      <c r="I10" s="8">
        <f>I9*G4</f>
        <v>99984</v>
      </c>
      <c r="J10" s="8">
        <f>J9*G4</f>
        <v>124980</v>
      </c>
      <c r="K10" s="8">
        <f>K9*G4</f>
        <v>124980</v>
      </c>
      <c r="L10" s="8">
        <f>L9*G4</f>
        <v>124980</v>
      </c>
      <c r="M10" s="8">
        <f>M9*G4</f>
        <v>95818</v>
      </c>
      <c r="N10" s="8">
        <f>N9*G4</f>
        <v>95818</v>
      </c>
      <c r="O10" s="8">
        <f>O9*G4</f>
        <v>0</v>
      </c>
      <c r="P10" s="8">
        <f>P9*G4</f>
        <v>12498</v>
      </c>
      <c r="Q10" s="8">
        <f>Q9*G4</f>
        <v>16664</v>
      </c>
      <c r="R10" s="8">
        <f>R9*G4</f>
        <v>45826</v>
      </c>
      <c r="S10" s="9">
        <f>R10+Q10+P10+O10+N10+M10+L10+K10+J10+I10+H10+G10</f>
        <v>849864</v>
      </c>
    </row>
    <row r="11" spans="1:19" ht="12.75">
      <c r="A11" s="195" t="s">
        <v>149</v>
      </c>
      <c r="B11" s="195"/>
      <c r="C11" s="115" t="s">
        <v>145</v>
      </c>
      <c r="D11" s="115"/>
      <c r="E11" s="115"/>
      <c r="F11" s="115"/>
      <c r="G11" s="15">
        <f>'График транспортирования'!D46</f>
        <v>7</v>
      </c>
      <c r="H11" s="15">
        <f>'График транспортирования'!E46</f>
        <v>18</v>
      </c>
      <c r="I11" s="15">
        <f>'График транспортирования'!F46</f>
        <v>24</v>
      </c>
      <c r="J11" s="15">
        <f>'График транспортирования'!G46</f>
        <v>30</v>
      </c>
      <c r="K11" s="15">
        <f>'График транспортирования'!H46</f>
        <v>30</v>
      </c>
      <c r="L11" s="15">
        <f>'График транспортирования'!I46</f>
        <v>30</v>
      </c>
      <c r="M11" s="15">
        <f>'График транспортирования'!J46</f>
        <v>23</v>
      </c>
      <c r="N11" s="15">
        <f>'График транспортирования'!K46</f>
        <v>23</v>
      </c>
      <c r="O11" s="15">
        <f>'График транспортирования'!L46</f>
        <v>0</v>
      </c>
      <c r="P11" s="15">
        <f>'График транспортирования'!M46</f>
        <v>3</v>
      </c>
      <c r="Q11" s="15">
        <f>'График транспортирования'!N46</f>
        <v>4</v>
      </c>
      <c r="R11" s="15">
        <f>'График транспортирования'!O46</f>
        <v>11</v>
      </c>
      <c r="S11" s="16">
        <f>G11+H11+I11+J11+K11+L11+M11+N11+O11+P11+Q11+R11</f>
        <v>203</v>
      </c>
    </row>
    <row r="12" spans="1:19" ht="12.75">
      <c r="A12" s="195"/>
      <c r="B12" s="195"/>
      <c r="C12" s="115" t="s">
        <v>172</v>
      </c>
      <c r="D12" s="115"/>
      <c r="E12" s="115"/>
      <c r="F12" s="115"/>
      <c r="G12" s="8">
        <f>G11*G4</f>
        <v>29162</v>
      </c>
      <c r="H12" s="8">
        <f>H11*G4</f>
        <v>74988</v>
      </c>
      <c r="I12" s="8">
        <f>I11*G4</f>
        <v>99984</v>
      </c>
      <c r="J12" s="8">
        <f>J11*G4</f>
        <v>124980</v>
      </c>
      <c r="K12" s="8">
        <f>K11*G4</f>
        <v>124980</v>
      </c>
      <c r="L12" s="8">
        <f>L11*G4</f>
        <v>124980</v>
      </c>
      <c r="M12" s="8">
        <f>M11*G4</f>
        <v>95818</v>
      </c>
      <c r="N12" s="8">
        <f>N11*G4</f>
        <v>95818</v>
      </c>
      <c r="O12" s="8">
        <f>O11*G4</f>
        <v>0</v>
      </c>
      <c r="P12" s="8">
        <f>P11*G4</f>
        <v>12498</v>
      </c>
      <c r="Q12" s="8">
        <f>Q11*G4</f>
        <v>16664</v>
      </c>
      <c r="R12" s="8">
        <f>R11*G4</f>
        <v>45826</v>
      </c>
      <c r="S12" s="9">
        <f>R12+Q12+P12+O12+N12+M12+L12+K12+J12+I12+H12+G12</f>
        <v>845698</v>
      </c>
    </row>
    <row r="13" spans="1:19" ht="12.75">
      <c r="A13" s="195" t="s">
        <v>150</v>
      </c>
      <c r="B13" s="195"/>
      <c r="C13" s="115" t="s">
        <v>145</v>
      </c>
      <c r="D13" s="115"/>
      <c r="E13" s="115"/>
      <c r="F13" s="115"/>
      <c r="G13" s="15">
        <f>'График транспортирования'!D54</f>
        <v>8</v>
      </c>
      <c r="H13" s="15">
        <f>'График транспортирования'!E54</f>
        <v>17</v>
      </c>
      <c r="I13" s="15">
        <f>'График транспортирования'!F54</f>
        <v>24</v>
      </c>
      <c r="J13" s="15">
        <f>'График транспортирования'!G54</f>
        <v>30</v>
      </c>
      <c r="K13" s="15">
        <f>'График транспортирования'!H54</f>
        <v>30</v>
      </c>
      <c r="L13" s="15">
        <f>'График транспортирования'!I54</f>
        <v>30</v>
      </c>
      <c r="M13" s="15">
        <f>'График транспортирования'!J54</f>
        <v>23</v>
      </c>
      <c r="N13" s="15">
        <f>'График транспортирования'!K54</f>
        <v>23</v>
      </c>
      <c r="O13" s="15">
        <f>'График транспортирования'!L54</f>
        <v>0</v>
      </c>
      <c r="P13" s="15">
        <f>'График транспортирования'!M54</f>
        <v>4</v>
      </c>
      <c r="Q13" s="15">
        <f>'График транспортирования'!N54</f>
        <v>3</v>
      </c>
      <c r="R13" s="15">
        <f>'График транспортирования'!O54</f>
        <v>11</v>
      </c>
      <c r="S13" s="16">
        <f>G13+H13+I13+J13+K13+L13+M13+N13+O13+P13+Q13+R13</f>
        <v>203</v>
      </c>
    </row>
    <row r="14" spans="1:19" ht="12.75">
      <c r="A14" s="195"/>
      <c r="B14" s="195"/>
      <c r="C14" s="115" t="s">
        <v>172</v>
      </c>
      <c r="D14" s="115"/>
      <c r="E14" s="115"/>
      <c r="F14" s="115"/>
      <c r="G14" s="8">
        <f>G13*G4</f>
        <v>33328</v>
      </c>
      <c r="H14" s="8">
        <f>H13*G4</f>
        <v>70822</v>
      </c>
      <c r="I14" s="8">
        <f>I13*G4</f>
        <v>99984</v>
      </c>
      <c r="J14" s="8">
        <f>J13*G4</f>
        <v>124980</v>
      </c>
      <c r="K14" s="8">
        <f>K13*G4</f>
        <v>124980</v>
      </c>
      <c r="L14" s="8">
        <f>L13*G4</f>
        <v>124980</v>
      </c>
      <c r="M14" s="8">
        <f>M13*G4</f>
        <v>95818</v>
      </c>
      <c r="N14" s="8">
        <f>N13*G4</f>
        <v>95818</v>
      </c>
      <c r="O14" s="8">
        <f>O13*G4</f>
        <v>0</v>
      </c>
      <c r="P14" s="8">
        <f>P13*G4</f>
        <v>16664</v>
      </c>
      <c r="Q14" s="8">
        <f>Q13*G4</f>
        <v>12498</v>
      </c>
      <c r="R14" s="8">
        <f>R13*G4</f>
        <v>45826</v>
      </c>
      <c r="S14" s="9">
        <f>R14+Q14+P14+O14+N14+M14+L14+K14+J14+I14+H14+G14</f>
        <v>845698</v>
      </c>
    </row>
    <row r="15" spans="1:19" ht="12.75">
      <c r="A15" s="195" t="s">
        <v>151</v>
      </c>
      <c r="B15" s="195"/>
      <c r="C15" s="115" t="s">
        <v>145</v>
      </c>
      <c r="D15" s="115"/>
      <c r="E15" s="115"/>
      <c r="F15" s="115"/>
      <c r="G15" s="15">
        <f>'График транспортирования'!D62</f>
        <v>8</v>
      </c>
      <c r="H15" s="15">
        <f>'График транспортирования'!E62</f>
        <v>18</v>
      </c>
      <c r="I15" s="15">
        <f>'График транспортирования'!F62</f>
        <v>23</v>
      </c>
      <c r="J15" s="15">
        <f>'График транспортирования'!G62</f>
        <v>30</v>
      </c>
      <c r="K15" s="15">
        <f>'График транспортирования'!H62</f>
        <v>30</v>
      </c>
      <c r="L15" s="15">
        <f>'График транспортирования'!I62</f>
        <v>30</v>
      </c>
      <c r="M15" s="15">
        <f>'График транспортирования'!J62</f>
        <v>23</v>
      </c>
      <c r="N15" s="15">
        <f>'График транспортирования'!K62</f>
        <v>23</v>
      </c>
      <c r="O15" s="15">
        <f>'График транспортирования'!L62</f>
        <v>0</v>
      </c>
      <c r="P15" s="15">
        <f>'График транспортирования'!M62</f>
        <v>4</v>
      </c>
      <c r="Q15" s="15">
        <f>'График транспортирования'!N62</f>
        <v>3</v>
      </c>
      <c r="R15" s="15">
        <f>'График транспортирования'!O62</f>
        <v>11</v>
      </c>
      <c r="S15" s="16">
        <f>G15+H15+I15+J15+K15+L15+M15+N15+O15+P15+Q15+R15</f>
        <v>203</v>
      </c>
    </row>
    <row r="16" spans="1:19" ht="12.75">
      <c r="A16" s="195"/>
      <c r="B16" s="195"/>
      <c r="C16" s="115" t="s">
        <v>172</v>
      </c>
      <c r="D16" s="115"/>
      <c r="E16" s="115"/>
      <c r="F16" s="115"/>
      <c r="G16" s="8">
        <f>G15*G4</f>
        <v>33328</v>
      </c>
      <c r="H16" s="8">
        <f>H15*G4</f>
        <v>74988</v>
      </c>
      <c r="I16" s="8">
        <f>I15*G4</f>
        <v>95818</v>
      </c>
      <c r="J16" s="8">
        <f>J15*G4</f>
        <v>124980</v>
      </c>
      <c r="K16" s="8">
        <f>K15*G4</f>
        <v>124980</v>
      </c>
      <c r="L16" s="8">
        <f>L15*G4</f>
        <v>124980</v>
      </c>
      <c r="M16" s="8">
        <f>M15*G4</f>
        <v>95818</v>
      </c>
      <c r="N16" s="8">
        <f>N15*G4</f>
        <v>95818</v>
      </c>
      <c r="O16" s="8">
        <f>O15*G4</f>
        <v>0</v>
      </c>
      <c r="P16" s="8">
        <f>P15*G4</f>
        <v>16664</v>
      </c>
      <c r="Q16" s="8">
        <f>Q15*G4</f>
        <v>12498</v>
      </c>
      <c r="R16" s="8">
        <f>R15*G4</f>
        <v>45826</v>
      </c>
      <c r="S16" s="9">
        <f>R16+Q16+P16+O16+N16+M16+L16+K16+J16+I16+H16+G16</f>
        <v>845698</v>
      </c>
    </row>
    <row r="17" spans="1:19" ht="12.75">
      <c r="A17" s="195" t="s">
        <v>152</v>
      </c>
      <c r="B17" s="195"/>
      <c r="C17" s="152" t="s">
        <v>145</v>
      </c>
      <c r="D17" s="207"/>
      <c r="E17" s="207"/>
      <c r="F17" s="208"/>
      <c r="G17" s="15">
        <f>'График транспортирования'!D70</f>
        <v>8</v>
      </c>
      <c r="H17" s="15">
        <f>'График транспортирования'!E70</f>
        <v>18</v>
      </c>
      <c r="I17" s="15">
        <f>'График транспортирования'!F70</f>
        <v>24</v>
      </c>
      <c r="J17" s="15">
        <f>'График транспортирования'!G70</f>
        <v>30</v>
      </c>
      <c r="K17" s="15">
        <f>'График транспортирования'!H70</f>
        <v>30</v>
      </c>
      <c r="L17" s="15">
        <f>'График транспортирования'!I70</f>
        <v>30</v>
      </c>
      <c r="M17" s="15">
        <f>'График транспортирования'!J70</f>
        <v>22</v>
      </c>
      <c r="N17" s="15">
        <f>'График транспортирования'!K70</f>
        <v>23</v>
      </c>
      <c r="O17" s="15">
        <f>'График транспортирования'!L70</f>
        <v>0</v>
      </c>
      <c r="P17" s="15">
        <f>'График транспортирования'!M70</f>
        <v>4</v>
      </c>
      <c r="Q17" s="15">
        <f>'График транспортирования'!N70</f>
        <v>4</v>
      </c>
      <c r="R17" s="15">
        <f>'График транспортирования'!O70</f>
        <v>10</v>
      </c>
      <c r="S17" s="16">
        <f>G17+H17+I17+J17+K17+L17+M17+N17+O17+P17+Q17+R17</f>
        <v>203</v>
      </c>
    </row>
    <row r="18" spans="1:19" ht="12.75">
      <c r="A18" s="195"/>
      <c r="B18" s="195"/>
      <c r="C18" s="115" t="s">
        <v>172</v>
      </c>
      <c r="D18" s="115"/>
      <c r="E18" s="115"/>
      <c r="F18" s="115"/>
      <c r="G18" s="8">
        <f>G17*G4</f>
        <v>33328</v>
      </c>
      <c r="H18" s="8">
        <f>H17*G4</f>
        <v>74988</v>
      </c>
      <c r="I18" s="8">
        <f>I17*G4</f>
        <v>99984</v>
      </c>
      <c r="J18" s="8">
        <f>J17*G4</f>
        <v>124980</v>
      </c>
      <c r="K18" s="8">
        <f>K17*G4</f>
        <v>124980</v>
      </c>
      <c r="L18" s="8">
        <f>L17*G4</f>
        <v>124980</v>
      </c>
      <c r="M18" s="8">
        <f>M17*G4</f>
        <v>91652</v>
      </c>
      <c r="N18" s="8">
        <f>N17*G4</f>
        <v>95818</v>
      </c>
      <c r="O18" s="8">
        <f>O17*G4</f>
        <v>0</v>
      </c>
      <c r="P18" s="8">
        <f>P17*G4</f>
        <v>16664</v>
      </c>
      <c r="Q18" s="8">
        <f>Q17*G4</f>
        <v>16664</v>
      </c>
      <c r="R18" s="8">
        <f>R17*G4</f>
        <v>41660</v>
      </c>
      <c r="S18" s="9">
        <f>R18+Q18+P18+O18+N18+M18+L18+K18+J18+I18+H18+G18</f>
        <v>845698</v>
      </c>
    </row>
    <row r="19" spans="1:19" ht="12.75">
      <c r="A19" s="195" t="s">
        <v>153</v>
      </c>
      <c r="B19" s="195"/>
      <c r="C19" s="152" t="s">
        <v>145</v>
      </c>
      <c r="D19" s="207"/>
      <c r="E19" s="207"/>
      <c r="F19" s="208"/>
      <c r="G19" s="15">
        <f>'График транспортирования'!D78</f>
        <v>8</v>
      </c>
      <c r="H19" s="15">
        <f>'График транспортирования'!E78</f>
        <v>18</v>
      </c>
      <c r="I19" s="15">
        <f>'График транспортирования'!F78</f>
        <v>24</v>
      </c>
      <c r="J19" s="15">
        <f>'График транспортирования'!G78</f>
        <v>30</v>
      </c>
      <c r="K19" s="15">
        <f>'График транспортирования'!H78</f>
        <v>30</v>
      </c>
      <c r="L19" s="15">
        <f>'График транспортирования'!I78</f>
        <v>30</v>
      </c>
      <c r="M19" s="15">
        <f>'График транспортирования'!J78</f>
        <v>22</v>
      </c>
      <c r="N19" s="15">
        <f>'График транспортирования'!K78</f>
        <v>23</v>
      </c>
      <c r="O19" s="15">
        <f>'График транспортирования'!L78</f>
        <v>0</v>
      </c>
      <c r="P19" s="15">
        <f>'График транспортирования'!M78</f>
        <v>4</v>
      </c>
      <c r="Q19" s="15">
        <f>'График транспортирования'!N78</f>
        <v>4</v>
      </c>
      <c r="R19" s="15">
        <f>'График транспортирования'!O78</f>
        <v>11</v>
      </c>
      <c r="S19" s="16">
        <f>G19+H19+I19+J19+K19+L19+M19+N19+O19+P19+Q19+R19</f>
        <v>204</v>
      </c>
    </row>
    <row r="20" spans="1:19" ht="12.75">
      <c r="A20" s="195"/>
      <c r="B20" s="195"/>
      <c r="C20" s="115" t="s">
        <v>172</v>
      </c>
      <c r="D20" s="115"/>
      <c r="E20" s="115"/>
      <c r="F20" s="115"/>
      <c r="G20" s="8">
        <f>G19*G4</f>
        <v>33328</v>
      </c>
      <c r="H20" s="8">
        <f>H19*G4</f>
        <v>74988</v>
      </c>
      <c r="I20" s="8">
        <f>I19*G4</f>
        <v>99984</v>
      </c>
      <c r="J20" s="8">
        <f>J19*G4</f>
        <v>124980</v>
      </c>
      <c r="K20" s="8">
        <f>K19*G4</f>
        <v>124980</v>
      </c>
      <c r="L20" s="8">
        <f>L19*G4</f>
        <v>124980</v>
      </c>
      <c r="M20" s="8">
        <f>M19*G4</f>
        <v>91652</v>
      </c>
      <c r="N20" s="8">
        <f>N19*G4</f>
        <v>95818</v>
      </c>
      <c r="O20" s="8">
        <f>O19*G4</f>
        <v>0</v>
      </c>
      <c r="P20" s="8">
        <f>P19*G4</f>
        <v>16664</v>
      </c>
      <c r="Q20" s="8">
        <f>Q19*G4</f>
        <v>16664</v>
      </c>
      <c r="R20" s="8">
        <f>R19*G4</f>
        <v>45826</v>
      </c>
      <c r="S20" s="9">
        <f>R20+Q20+P20+O20+N20+M20+L20+K20+J20+I20+H20+G20</f>
        <v>849864</v>
      </c>
    </row>
    <row r="21" spans="1:19" ht="12.75">
      <c r="A21" s="195" t="s">
        <v>154</v>
      </c>
      <c r="B21" s="195"/>
      <c r="C21" s="152" t="s">
        <v>145</v>
      </c>
      <c r="D21" s="207"/>
      <c r="E21" s="207"/>
      <c r="F21" s="208"/>
      <c r="G21" s="15">
        <f>'График транспортирования'!D86</f>
        <v>7</v>
      </c>
      <c r="H21" s="15">
        <f>'График транспортирования'!E86</f>
        <v>18</v>
      </c>
      <c r="I21" s="15">
        <f>'График транспортирования'!F86</f>
        <v>24</v>
      </c>
      <c r="J21" s="15">
        <f>'График транспортирования'!G86</f>
        <v>30</v>
      </c>
      <c r="K21" s="15">
        <f>'График транспортирования'!H86</f>
        <v>30</v>
      </c>
      <c r="L21" s="15">
        <f>'График транспортирования'!I86</f>
        <v>30</v>
      </c>
      <c r="M21" s="15">
        <f>'График транспортирования'!J86</f>
        <v>23</v>
      </c>
      <c r="N21" s="15">
        <f>'График транспортирования'!K86</f>
        <v>23</v>
      </c>
      <c r="O21" s="15">
        <f>'График транспортирования'!L86</f>
        <v>0</v>
      </c>
      <c r="P21" s="15">
        <f>'График транспортирования'!M86</f>
        <v>3</v>
      </c>
      <c r="Q21" s="15">
        <f>'График транспортирования'!N86</f>
        <v>4</v>
      </c>
      <c r="R21" s="15">
        <f>'График транспортирования'!O86</f>
        <v>11</v>
      </c>
      <c r="S21" s="16">
        <f>G21+H21+I21+J21+K21+L21+M21+N21+O21+P21+Q21+R21</f>
        <v>203</v>
      </c>
    </row>
    <row r="22" spans="1:19" ht="12.75">
      <c r="A22" s="195"/>
      <c r="B22" s="195"/>
      <c r="C22" s="115" t="s">
        <v>172</v>
      </c>
      <c r="D22" s="115"/>
      <c r="E22" s="115"/>
      <c r="F22" s="115"/>
      <c r="G22" s="8">
        <f>G21*G4</f>
        <v>29162</v>
      </c>
      <c r="H22" s="8">
        <f>H21*G4</f>
        <v>74988</v>
      </c>
      <c r="I22" s="8">
        <f>I21*G4</f>
        <v>99984</v>
      </c>
      <c r="J22" s="8">
        <f>J21*G4</f>
        <v>124980</v>
      </c>
      <c r="K22" s="8">
        <f>K21*G4</f>
        <v>124980</v>
      </c>
      <c r="L22" s="8">
        <f>L21*G4</f>
        <v>124980</v>
      </c>
      <c r="M22" s="8">
        <f>M21*G4</f>
        <v>95818</v>
      </c>
      <c r="N22" s="8">
        <f>N21*G4</f>
        <v>95818</v>
      </c>
      <c r="O22" s="8">
        <f>O21*G4</f>
        <v>0</v>
      </c>
      <c r="P22" s="8">
        <f>P21*G4</f>
        <v>12498</v>
      </c>
      <c r="Q22" s="8">
        <f>Q21*G4</f>
        <v>16664</v>
      </c>
      <c r="R22" s="8">
        <f>R21*G4</f>
        <v>45826</v>
      </c>
      <c r="S22" s="9">
        <f>R22+Q22+P22+O22+N22+M22+L22+K22+J22+I22+H22+G22</f>
        <v>845698</v>
      </c>
    </row>
    <row r="23" spans="1:19" ht="12.75">
      <c r="A23" s="195" t="s">
        <v>155</v>
      </c>
      <c r="B23" s="195"/>
      <c r="C23" s="152" t="s">
        <v>145</v>
      </c>
      <c r="D23" s="207"/>
      <c r="E23" s="207"/>
      <c r="F23" s="208"/>
      <c r="G23" s="15">
        <f>'График транспортирования'!D94</f>
        <v>7</v>
      </c>
      <c r="H23" s="15">
        <f>'График транспортирования'!E94</f>
        <v>18</v>
      </c>
      <c r="I23" s="15">
        <f>'График транспортирования'!F94</f>
        <v>24</v>
      </c>
      <c r="J23" s="15">
        <f>'График транспортирования'!G94</f>
        <v>30</v>
      </c>
      <c r="K23" s="15">
        <f>'График транспортирования'!H94</f>
        <v>30</v>
      </c>
      <c r="L23" s="15">
        <f>'График транспортирования'!I94</f>
        <v>30</v>
      </c>
      <c r="M23" s="15">
        <f>'График транспортирования'!J94</f>
        <v>23</v>
      </c>
      <c r="N23" s="15">
        <f>'График транспортирования'!K94</f>
        <v>23</v>
      </c>
      <c r="O23" s="15">
        <f>'График транспортирования'!L94</f>
        <v>0</v>
      </c>
      <c r="P23" s="15">
        <f>'График транспортирования'!M94</f>
        <v>3</v>
      </c>
      <c r="Q23" s="15">
        <f>'График транспортирования'!N94</f>
        <v>4</v>
      </c>
      <c r="R23" s="15">
        <f>'График транспортирования'!O94</f>
        <v>11</v>
      </c>
      <c r="S23" s="16">
        <f>G23+H23+I23+J23+K23+L23+M23+N23+O23+P23+Q23+R23</f>
        <v>203</v>
      </c>
    </row>
    <row r="24" spans="1:19" ht="12.75">
      <c r="A24" s="195"/>
      <c r="B24" s="195"/>
      <c r="C24" s="115" t="s">
        <v>172</v>
      </c>
      <c r="D24" s="115"/>
      <c r="E24" s="115"/>
      <c r="F24" s="115"/>
      <c r="G24" s="8">
        <f>G23*G4</f>
        <v>29162</v>
      </c>
      <c r="H24" s="8">
        <f>H23*G4</f>
        <v>74988</v>
      </c>
      <c r="I24" s="8">
        <f>I23*G4</f>
        <v>99984</v>
      </c>
      <c r="J24" s="8">
        <f>J23*G4</f>
        <v>124980</v>
      </c>
      <c r="K24" s="8">
        <f>K23*G4</f>
        <v>124980</v>
      </c>
      <c r="L24" s="8">
        <f>L23*G4</f>
        <v>124980</v>
      </c>
      <c r="M24" s="8">
        <f>M23*G4</f>
        <v>95818</v>
      </c>
      <c r="N24" s="8">
        <f>N23*G4</f>
        <v>95818</v>
      </c>
      <c r="O24" s="8">
        <f>O23*G4</f>
        <v>0</v>
      </c>
      <c r="P24" s="8">
        <f>P23*G4</f>
        <v>12498</v>
      </c>
      <c r="Q24" s="8">
        <f>Q23*G4</f>
        <v>16664</v>
      </c>
      <c r="R24" s="8">
        <f>R23*G4</f>
        <v>45826</v>
      </c>
      <c r="S24" s="9">
        <f>R24+Q24+P24+O24+N24+M24+L24+K24+J24+I24+H24+G24</f>
        <v>845698</v>
      </c>
    </row>
    <row r="25" spans="1:19" ht="12.75">
      <c r="A25" s="195" t="s">
        <v>156</v>
      </c>
      <c r="B25" s="195"/>
      <c r="C25" s="152" t="s">
        <v>145</v>
      </c>
      <c r="D25" s="207"/>
      <c r="E25" s="207"/>
      <c r="F25" s="208"/>
      <c r="G25" s="15">
        <f>'График транспортирования'!D102</f>
        <v>8</v>
      </c>
      <c r="H25" s="15">
        <f>'График транспортирования'!E102</f>
        <v>17</v>
      </c>
      <c r="I25" s="15">
        <f>'График транспортирования'!F102</f>
        <v>24</v>
      </c>
      <c r="J25" s="15">
        <f>'График транспортирования'!G102</f>
        <v>30</v>
      </c>
      <c r="K25" s="15">
        <f>'График транспортирования'!H102</f>
        <v>30</v>
      </c>
      <c r="L25" s="15">
        <f>'График транспортирования'!I102</f>
        <v>30</v>
      </c>
      <c r="M25" s="15">
        <f>'График транспортирования'!J102</f>
        <v>23</v>
      </c>
      <c r="N25" s="15">
        <f>'График транспортирования'!K102</f>
        <v>23</v>
      </c>
      <c r="O25" s="15">
        <f>'График транспортирования'!L102</f>
        <v>0</v>
      </c>
      <c r="P25" s="15">
        <f>'График транспортирования'!M102</f>
        <v>4</v>
      </c>
      <c r="Q25" s="15">
        <f>'График транспортирования'!N102</f>
        <v>3</v>
      </c>
      <c r="R25" s="15">
        <f>'График транспортирования'!O102</f>
        <v>11</v>
      </c>
      <c r="S25" s="16">
        <f>G25+H25+I25+J25+K25+L25+M25+N25+O25+P25+Q25+R25</f>
        <v>203</v>
      </c>
    </row>
    <row r="26" spans="1:19" ht="12.75">
      <c r="A26" s="195"/>
      <c r="B26" s="195"/>
      <c r="C26" s="115" t="s">
        <v>172</v>
      </c>
      <c r="D26" s="115"/>
      <c r="E26" s="115"/>
      <c r="F26" s="115"/>
      <c r="G26" s="8">
        <f>G25*G4</f>
        <v>33328</v>
      </c>
      <c r="H26" s="8">
        <f>H25*G4</f>
        <v>70822</v>
      </c>
      <c r="I26" s="8">
        <f>I25*G4</f>
        <v>99984</v>
      </c>
      <c r="J26" s="8">
        <f>J25*G4</f>
        <v>124980</v>
      </c>
      <c r="K26" s="8">
        <f>K25*G4</f>
        <v>124980</v>
      </c>
      <c r="L26" s="8">
        <f>L25*G4</f>
        <v>124980</v>
      </c>
      <c r="M26" s="8">
        <f>M25*G4</f>
        <v>95818</v>
      </c>
      <c r="N26" s="8">
        <f>N25*G4</f>
        <v>95818</v>
      </c>
      <c r="O26" s="8">
        <f>O25*G4</f>
        <v>0</v>
      </c>
      <c r="P26" s="8">
        <f>P25*G4</f>
        <v>16664</v>
      </c>
      <c r="Q26" s="8">
        <f>Q25*G4</f>
        <v>12498</v>
      </c>
      <c r="R26" s="8">
        <f>R25*G4</f>
        <v>45826</v>
      </c>
      <c r="S26" s="9">
        <f>R26+Q26+P26+O26+N26+M26+L26+K26+J26+I26+H26+G26</f>
        <v>845698</v>
      </c>
    </row>
    <row r="27" spans="1:19" ht="12.75">
      <c r="A27" s="195" t="s">
        <v>157</v>
      </c>
      <c r="B27" s="195"/>
      <c r="C27" s="152" t="s">
        <v>145</v>
      </c>
      <c r="D27" s="207"/>
      <c r="E27" s="207"/>
      <c r="F27" s="208"/>
      <c r="G27" s="15">
        <f>'График транспортирования'!D110</f>
        <v>8</v>
      </c>
      <c r="H27" s="15">
        <f>'График транспортирования'!E110</f>
        <v>18</v>
      </c>
      <c r="I27" s="15">
        <f>'График транспортирования'!F110</f>
        <v>23</v>
      </c>
      <c r="J27" s="15">
        <f>'График транспортирования'!G110</f>
        <v>30</v>
      </c>
      <c r="K27" s="15">
        <f>'График транспортирования'!H110</f>
        <v>30</v>
      </c>
      <c r="L27" s="15">
        <f>'График транспортирования'!I110</f>
        <v>30</v>
      </c>
      <c r="M27" s="15">
        <f>'График транспортирования'!J110</f>
        <v>23</v>
      </c>
      <c r="N27" s="15">
        <f>'График транспортирования'!K110</f>
        <v>23</v>
      </c>
      <c r="O27" s="15">
        <f>'График транспортирования'!L110</f>
        <v>0</v>
      </c>
      <c r="P27" s="15">
        <f>'График транспортирования'!M110</f>
        <v>4</v>
      </c>
      <c r="Q27" s="15">
        <f>'График транспортирования'!N110</f>
        <v>4</v>
      </c>
      <c r="R27" s="15">
        <f>'График транспортирования'!O110</f>
        <v>10</v>
      </c>
      <c r="S27" s="16">
        <f>G27+H27+I27+J27+K27+L27+M27+N27+O27+P27+Q27+R27</f>
        <v>203</v>
      </c>
    </row>
    <row r="28" spans="1:19" ht="12.75">
      <c r="A28" s="195"/>
      <c r="B28" s="195"/>
      <c r="C28" s="115" t="s">
        <v>172</v>
      </c>
      <c r="D28" s="115"/>
      <c r="E28" s="115"/>
      <c r="F28" s="115"/>
      <c r="G28" s="8">
        <f>G27*G4</f>
        <v>33328</v>
      </c>
      <c r="H28" s="8">
        <f>H27*G4</f>
        <v>74988</v>
      </c>
      <c r="I28" s="8">
        <f>I27*G4</f>
        <v>95818</v>
      </c>
      <c r="J28" s="8">
        <f>J27*G4</f>
        <v>124980</v>
      </c>
      <c r="K28" s="8">
        <f>K27*G4</f>
        <v>124980</v>
      </c>
      <c r="L28" s="8">
        <f>L27*G4</f>
        <v>124980</v>
      </c>
      <c r="M28" s="8">
        <f>M27*G4</f>
        <v>95818</v>
      </c>
      <c r="N28" s="8">
        <f>N27*G4</f>
        <v>95818</v>
      </c>
      <c r="O28" s="8">
        <f>O27*G4</f>
        <v>0</v>
      </c>
      <c r="P28" s="8">
        <f>P27*G4</f>
        <v>16664</v>
      </c>
      <c r="Q28" s="8">
        <f>Q27*G4</f>
        <v>16664</v>
      </c>
      <c r="R28" s="8">
        <f>R27*G4</f>
        <v>41660</v>
      </c>
      <c r="S28" s="9">
        <f>R28+Q28+P28+O28+N28+M28+L28+K28+J28+I28+H28+G28</f>
        <v>845698</v>
      </c>
    </row>
    <row r="29" spans="1:19" ht="12.75">
      <c r="A29" s="195" t="s">
        <v>158</v>
      </c>
      <c r="B29" s="195"/>
      <c r="C29" s="152" t="s">
        <v>145</v>
      </c>
      <c r="D29" s="207"/>
      <c r="E29" s="207"/>
      <c r="F29" s="208"/>
      <c r="G29" s="15">
        <f>'График транспортирования'!D118</f>
        <v>8</v>
      </c>
      <c r="H29" s="15">
        <f>'График транспортирования'!E118</f>
        <v>18</v>
      </c>
      <c r="I29" s="15">
        <f>'График транспортирования'!F118</f>
        <v>24</v>
      </c>
      <c r="J29" s="15">
        <f>'График транспортирования'!G118</f>
        <v>30</v>
      </c>
      <c r="K29" s="15">
        <f>'График транспортирования'!H118</f>
        <v>30</v>
      </c>
      <c r="L29" s="15">
        <f>'График транспортирования'!I118</f>
        <v>30</v>
      </c>
      <c r="M29" s="15">
        <f>'График транспортирования'!J118</f>
        <v>22</v>
      </c>
      <c r="N29" s="15">
        <f>'График транспортирования'!K118</f>
        <v>23</v>
      </c>
      <c r="O29" s="15">
        <f>'График транспортирования'!L118</f>
        <v>0</v>
      </c>
      <c r="P29" s="15">
        <f>'График транспортирования'!M118</f>
        <v>4</v>
      </c>
      <c r="Q29" s="15">
        <f>'График транспортирования'!N118</f>
        <v>4</v>
      </c>
      <c r="R29" s="15">
        <f>'График транспортирования'!O118</f>
        <v>10</v>
      </c>
      <c r="S29" s="16">
        <f>G29+H29+I29+J29+K29+L29+M29+N29+O29+P29+Q29+R29</f>
        <v>203</v>
      </c>
    </row>
    <row r="30" spans="1:19" ht="12.75">
      <c r="A30" s="195"/>
      <c r="B30" s="195"/>
      <c r="C30" s="115" t="s">
        <v>172</v>
      </c>
      <c r="D30" s="115"/>
      <c r="E30" s="115"/>
      <c r="F30" s="115"/>
      <c r="G30" s="8">
        <f>G29*G4</f>
        <v>33328</v>
      </c>
      <c r="H30" s="8">
        <f>H29*G4</f>
        <v>74988</v>
      </c>
      <c r="I30" s="8">
        <f>I29*G4</f>
        <v>99984</v>
      </c>
      <c r="J30" s="8">
        <f>J29*G4</f>
        <v>124980</v>
      </c>
      <c r="K30" s="8">
        <f>K29*G4</f>
        <v>124980</v>
      </c>
      <c r="L30" s="8">
        <f>L29*G4</f>
        <v>124980</v>
      </c>
      <c r="M30" s="8">
        <f>M29*G4</f>
        <v>91652</v>
      </c>
      <c r="N30" s="8">
        <f>N29*G4</f>
        <v>95818</v>
      </c>
      <c r="O30" s="8">
        <f>O29*G4</f>
        <v>0</v>
      </c>
      <c r="P30" s="8">
        <f>P29*G4</f>
        <v>16664</v>
      </c>
      <c r="Q30" s="8">
        <f>Q29*G4</f>
        <v>16664</v>
      </c>
      <c r="R30" s="8">
        <f>R29*G4</f>
        <v>41660</v>
      </c>
      <c r="S30" s="9">
        <f>R30+Q30+P30+O30+N30+M30+L30+K30+J30+I30+H30+G30</f>
        <v>845698</v>
      </c>
    </row>
  </sheetData>
  <sheetProtection/>
  <mergeCells count="46">
    <mergeCell ref="A29:B30"/>
    <mergeCell ref="C29:F29"/>
    <mergeCell ref="C30:F30"/>
    <mergeCell ref="A25:B26"/>
    <mergeCell ref="C25:F25"/>
    <mergeCell ref="C26:F26"/>
    <mergeCell ref="A27:B28"/>
    <mergeCell ref="C27:F27"/>
    <mergeCell ref="C28:F28"/>
    <mergeCell ref="A21:B22"/>
    <mergeCell ref="C21:F21"/>
    <mergeCell ref="C22:F22"/>
    <mergeCell ref="A23:B24"/>
    <mergeCell ref="C23:F23"/>
    <mergeCell ref="C24:F24"/>
    <mergeCell ref="A17:B18"/>
    <mergeCell ref="C17:F17"/>
    <mergeCell ref="C18:F18"/>
    <mergeCell ref="A19:B20"/>
    <mergeCell ref="C19:F19"/>
    <mergeCell ref="C20:F20"/>
    <mergeCell ref="A13:B14"/>
    <mergeCell ref="C13:F13"/>
    <mergeCell ref="C14:F14"/>
    <mergeCell ref="A15:B16"/>
    <mergeCell ref="C15:F15"/>
    <mergeCell ref="C16:F16"/>
    <mergeCell ref="A9:B10"/>
    <mergeCell ref="C9:F9"/>
    <mergeCell ref="C10:F10"/>
    <mergeCell ref="A11:B12"/>
    <mergeCell ref="C11:F11"/>
    <mergeCell ref="C12:F12"/>
    <mergeCell ref="A5:B6"/>
    <mergeCell ref="C5:F5"/>
    <mergeCell ref="C6:F6"/>
    <mergeCell ref="A7:B8"/>
    <mergeCell ref="C7:F7"/>
    <mergeCell ref="C8:F8"/>
    <mergeCell ref="A1:S1"/>
    <mergeCell ref="A2:B4"/>
    <mergeCell ref="C2:F3"/>
    <mergeCell ref="G2:R2"/>
    <mergeCell ref="S2:S4"/>
    <mergeCell ref="C4:F4"/>
    <mergeCell ref="G4:R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73"/>
  <sheetViews>
    <sheetView zoomScalePageLayoutView="0" workbookViewId="0" topLeftCell="B154">
      <selection activeCell="I174" sqref="I174"/>
    </sheetView>
  </sheetViews>
  <sheetFormatPr defaultColWidth="9.00390625" defaultRowHeight="12.75"/>
  <cols>
    <col min="5" max="16" width="11.375" style="0" bestFit="1" customWidth="1"/>
  </cols>
  <sheetData>
    <row r="1" spans="1:18" ht="18.75">
      <c r="A1" s="194" t="s">
        <v>492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</row>
    <row r="2" spans="1:18" ht="16.5" thickBot="1">
      <c r="A2" s="242" t="s">
        <v>173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3"/>
    </row>
    <row r="3" spans="1:18" ht="15.75">
      <c r="A3" s="230" t="s">
        <v>174</v>
      </c>
      <c r="B3" s="230"/>
      <c r="C3" s="230"/>
      <c r="D3" s="230"/>
      <c r="E3" s="238" t="s">
        <v>26</v>
      </c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2" t="s">
        <v>175</v>
      </c>
      <c r="R3" s="232"/>
    </row>
    <row r="4" spans="1:18" ht="15.75">
      <c r="A4" s="231"/>
      <c r="B4" s="231"/>
      <c r="C4" s="231"/>
      <c r="D4" s="231"/>
      <c r="E4" s="21">
        <v>44440</v>
      </c>
      <c r="F4" s="21">
        <v>44470</v>
      </c>
      <c r="G4" s="21">
        <v>44501</v>
      </c>
      <c r="H4" s="21">
        <v>44531</v>
      </c>
      <c r="I4" s="21">
        <v>44562</v>
      </c>
      <c r="J4" s="21">
        <v>44593</v>
      </c>
      <c r="K4" s="21">
        <v>44621</v>
      </c>
      <c r="L4" s="21">
        <v>44652</v>
      </c>
      <c r="M4" s="21">
        <v>44682</v>
      </c>
      <c r="N4" s="21">
        <v>44713</v>
      </c>
      <c r="O4" s="21">
        <v>44743</v>
      </c>
      <c r="P4" s="21">
        <v>44774</v>
      </c>
      <c r="Q4" s="233"/>
      <c r="R4" s="233"/>
    </row>
    <row r="5" spans="1:18" ht="15.75">
      <c r="A5" s="234" t="s">
        <v>176</v>
      </c>
      <c r="B5" s="234"/>
      <c r="C5" s="234"/>
      <c r="D5" s="234"/>
      <c r="E5" s="22">
        <v>56306.31</v>
      </c>
      <c r="F5" s="22">
        <v>56306.31</v>
      </c>
      <c r="G5" s="22">
        <v>56306.31</v>
      </c>
      <c r="H5" s="22">
        <v>56306.31</v>
      </c>
      <c r="I5" s="22">
        <v>56306.31</v>
      </c>
      <c r="J5" s="22">
        <v>56306.31</v>
      </c>
      <c r="K5" s="22">
        <v>56306.31</v>
      </c>
      <c r="L5" s="22">
        <v>56306.31</v>
      </c>
      <c r="M5" s="22">
        <v>56306.31</v>
      </c>
      <c r="N5" s="22">
        <v>56306.31</v>
      </c>
      <c r="O5" s="22">
        <v>56306.31</v>
      </c>
      <c r="P5" s="22">
        <v>56306.31</v>
      </c>
      <c r="Q5" s="240">
        <f>P5+O5+N5+M5+L5+K5+J5+I5+H5+G5+F5+E5</f>
        <v>675675.72</v>
      </c>
      <c r="R5" s="240"/>
    </row>
    <row r="6" spans="1:18" ht="16.5" thickBot="1">
      <c r="A6" s="239" t="s">
        <v>175</v>
      </c>
      <c r="B6" s="239"/>
      <c r="C6" s="239"/>
      <c r="D6" s="239"/>
      <c r="E6" s="23">
        <f>E5</f>
        <v>56306.31</v>
      </c>
      <c r="F6" s="23">
        <f>F5</f>
        <v>56306.31</v>
      </c>
      <c r="G6" s="23">
        <f aca="true" t="shared" si="0" ref="G6:P6">G5</f>
        <v>56306.31</v>
      </c>
      <c r="H6" s="23">
        <f t="shared" si="0"/>
        <v>56306.31</v>
      </c>
      <c r="I6" s="23">
        <f t="shared" si="0"/>
        <v>56306.31</v>
      </c>
      <c r="J6" s="23">
        <f t="shared" si="0"/>
        <v>56306.31</v>
      </c>
      <c r="K6" s="23">
        <f t="shared" si="0"/>
        <v>56306.31</v>
      </c>
      <c r="L6" s="23">
        <f t="shared" si="0"/>
        <v>56306.31</v>
      </c>
      <c r="M6" s="23">
        <f t="shared" si="0"/>
        <v>56306.31</v>
      </c>
      <c r="N6" s="23">
        <f t="shared" si="0"/>
        <v>56306.31</v>
      </c>
      <c r="O6" s="23">
        <f t="shared" si="0"/>
        <v>56306.31</v>
      </c>
      <c r="P6" s="23">
        <f t="shared" si="0"/>
        <v>56306.31</v>
      </c>
      <c r="Q6" s="240">
        <f>P6+O6+N6+M6+L6+K6+J6+I6+H6+G6+F6+E6</f>
        <v>675675.72</v>
      </c>
      <c r="R6" s="240"/>
    </row>
    <row r="7" spans="1:18" ht="16.5" thickBot="1">
      <c r="A7" s="235" t="s">
        <v>177</v>
      </c>
      <c r="B7" s="236"/>
      <c r="C7" s="236"/>
      <c r="D7" s="236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36"/>
      <c r="R7" s="237"/>
    </row>
    <row r="8" spans="1:18" ht="15.75">
      <c r="A8" s="230" t="s">
        <v>174</v>
      </c>
      <c r="B8" s="230"/>
      <c r="C8" s="230"/>
      <c r="D8" s="230"/>
      <c r="E8" s="238" t="s">
        <v>26</v>
      </c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2" t="s">
        <v>175</v>
      </c>
      <c r="R8" s="232"/>
    </row>
    <row r="9" spans="1:18" ht="15.75">
      <c r="A9" s="231"/>
      <c r="B9" s="231"/>
      <c r="C9" s="231"/>
      <c r="D9" s="231"/>
      <c r="E9" s="21">
        <v>44805</v>
      </c>
      <c r="F9" s="21">
        <v>44835</v>
      </c>
      <c r="G9" s="21">
        <v>44866</v>
      </c>
      <c r="H9" s="21">
        <v>44896</v>
      </c>
      <c r="I9" s="21">
        <v>44927</v>
      </c>
      <c r="J9" s="21">
        <v>44958</v>
      </c>
      <c r="K9" s="21">
        <v>44986</v>
      </c>
      <c r="L9" s="21">
        <v>45017</v>
      </c>
      <c r="M9" s="21">
        <v>45047</v>
      </c>
      <c r="N9" s="21">
        <v>45078</v>
      </c>
      <c r="O9" s="21">
        <v>45108</v>
      </c>
      <c r="P9" s="21">
        <v>45139</v>
      </c>
      <c r="Q9" s="233"/>
      <c r="R9" s="233"/>
    </row>
    <row r="10" spans="1:18" ht="15.75">
      <c r="A10" s="234" t="s">
        <v>176</v>
      </c>
      <c r="B10" s="234"/>
      <c r="C10" s="234"/>
      <c r="D10" s="234"/>
      <c r="E10" s="22">
        <v>56306.31</v>
      </c>
      <c r="F10" s="22">
        <v>56306.31</v>
      </c>
      <c r="G10" s="22">
        <v>56306.31</v>
      </c>
      <c r="H10" s="22">
        <v>56306.31</v>
      </c>
      <c r="I10" s="22">
        <v>56306.31</v>
      </c>
      <c r="J10" s="22">
        <v>56306.31</v>
      </c>
      <c r="K10" s="22">
        <v>56306.31</v>
      </c>
      <c r="L10" s="22">
        <v>56306.31</v>
      </c>
      <c r="M10" s="22">
        <v>56306.31</v>
      </c>
      <c r="N10" s="22">
        <v>56306.31</v>
      </c>
      <c r="O10" s="22">
        <v>56306.31</v>
      </c>
      <c r="P10" s="22">
        <v>56306.31</v>
      </c>
      <c r="Q10" s="114">
        <f aca="true" t="shared" si="1" ref="Q10:Q16">P10+O10+N10+M10+L10+K10+J10+I10+H10+G10+F10+E10</f>
        <v>675675.72</v>
      </c>
      <c r="R10" s="114"/>
    </row>
    <row r="11" spans="1:18" ht="15.75">
      <c r="A11" s="234" t="s">
        <v>178</v>
      </c>
      <c r="B11" s="234"/>
      <c r="C11" s="234"/>
      <c r="D11" s="234"/>
      <c r="E11" s="8">
        <v>858627.96</v>
      </c>
      <c r="F11" s="8">
        <v>858627.96</v>
      </c>
      <c r="G11" s="8">
        <v>858627.96</v>
      </c>
      <c r="H11" s="8">
        <v>858627.96</v>
      </c>
      <c r="I11" s="8">
        <v>858627.96</v>
      </c>
      <c r="J11" s="8">
        <v>858627.96</v>
      </c>
      <c r="K11" s="8">
        <v>858627.96</v>
      </c>
      <c r="L11" s="8">
        <v>858627.96</v>
      </c>
      <c r="M11" s="8">
        <v>858627.96</v>
      </c>
      <c r="N11" s="8">
        <v>858627.96</v>
      </c>
      <c r="O11" s="8">
        <v>858627.96</v>
      </c>
      <c r="P11" s="8">
        <v>858627.96</v>
      </c>
      <c r="Q11" s="114">
        <f t="shared" si="1"/>
        <v>10303535.52</v>
      </c>
      <c r="R11" s="114"/>
    </row>
    <row r="12" spans="1:18" ht="15.75">
      <c r="A12" s="234" t="s">
        <v>179</v>
      </c>
      <c r="B12" s="234"/>
      <c r="C12" s="234"/>
      <c r="D12" s="234"/>
      <c r="E12" s="8">
        <v>83185.99</v>
      </c>
      <c r="F12" s="8">
        <v>83185.99</v>
      </c>
      <c r="G12" s="8">
        <v>83185.99</v>
      </c>
      <c r="H12" s="8">
        <v>83185.99</v>
      </c>
      <c r="I12" s="8">
        <v>83185.99</v>
      </c>
      <c r="J12" s="8">
        <v>83185.99</v>
      </c>
      <c r="K12" s="8">
        <v>83185.99</v>
      </c>
      <c r="L12" s="8">
        <v>83185.99</v>
      </c>
      <c r="M12" s="8">
        <v>83185.99</v>
      </c>
      <c r="N12" s="8">
        <v>83185.99</v>
      </c>
      <c r="O12" s="8">
        <v>83185.99</v>
      </c>
      <c r="P12" s="8">
        <v>83185.99</v>
      </c>
      <c r="Q12" s="114">
        <f t="shared" si="1"/>
        <v>998231.88</v>
      </c>
      <c r="R12" s="114"/>
    </row>
    <row r="13" spans="1:18" ht="15.75">
      <c r="A13" s="234" t="s">
        <v>180</v>
      </c>
      <c r="B13" s="234"/>
      <c r="C13" s="234"/>
      <c r="D13" s="234"/>
      <c r="E13" s="8">
        <v>189803.92</v>
      </c>
      <c r="F13" s="8">
        <v>189803.92</v>
      </c>
      <c r="G13" s="8">
        <v>189803.92</v>
      </c>
      <c r="H13" s="8">
        <v>189803.92</v>
      </c>
      <c r="I13" s="8">
        <v>189803.92</v>
      </c>
      <c r="J13" s="8">
        <v>189803.92</v>
      </c>
      <c r="K13" s="8">
        <v>189803.92</v>
      </c>
      <c r="L13" s="8">
        <v>189803.92</v>
      </c>
      <c r="M13" s="8">
        <v>189803.92</v>
      </c>
      <c r="N13" s="8">
        <v>189803.92</v>
      </c>
      <c r="O13" s="8">
        <v>189803.92</v>
      </c>
      <c r="P13" s="8">
        <v>189803.92</v>
      </c>
      <c r="Q13" s="114">
        <f t="shared" si="1"/>
        <v>2277647.0399999996</v>
      </c>
      <c r="R13" s="114"/>
    </row>
    <row r="14" spans="1:18" ht="15.75">
      <c r="A14" s="234" t="s">
        <v>181</v>
      </c>
      <c r="B14" s="234"/>
      <c r="C14" s="234"/>
      <c r="D14" s="234"/>
      <c r="E14" s="8">
        <v>66039.22</v>
      </c>
      <c r="F14" s="8">
        <v>66039.22</v>
      </c>
      <c r="G14" s="8">
        <v>66039.22</v>
      </c>
      <c r="H14" s="8">
        <v>66039.22</v>
      </c>
      <c r="I14" s="8">
        <v>66039.22</v>
      </c>
      <c r="J14" s="8">
        <v>66039.22</v>
      </c>
      <c r="K14" s="8">
        <v>66039.22</v>
      </c>
      <c r="L14" s="8">
        <v>66039.22</v>
      </c>
      <c r="M14" s="8">
        <v>66039.22</v>
      </c>
      <c r="N14" s="8">
        <v>66039.22</v>
      </c>
      <c r="O14" s="8">
        <v>66039.22</v>
      </c>
      <c r="P14" s="8">
        <v>66039.22</v>
      </c>
      <c r="Q14" s="114">
        <f t="shared" si="1"/>
        <v>792470.6399999998</v>
      </c>
      <c r="R14" s="114"/>
    </row>
    <row r="15" spans="1:18" ht="15.75">
      <c r="A15" s="234" t="s">
        <v>182</v>
      </c>
      <c r="B15" s="234"/>
      <c r="C15" s="234"/>
      <c r="D15" s="234"/>
      <c r="E15" s="8">
        <v>4901.96</v>
      </c>
      <c r="F15" s="8">
        <v>4901.96</v>
      </c>
      <c r="G15" s="8">
        <v>4901.96</v>
      </c>
      <c r="H15" s="8">
        <v>4901.96</v>
      </c>
      <c r="I15" s="8">
        <v>4901.96</v>
      </c>
      <c r="J15" s="8">
        <v>4901.96</v>
      </c>
      <c r="K15" s="8">
        <v>4901.96</v>
      </c>
      <c r="L15" s="8">
        <v>4901.96</v>
      </c>
      <c r="M15" s="8">
        <v>4901.96</v>
      </c>
      <c r="N15" s="8">
        <v>4901.96</v>
      </c>
      <c r="O15" s="8">
        <v>4901.96</v>
      </c>
      <c r="P15" s="8">
        <v>4901.96</v>
      </c>
      <c r="Q15" s="114">
        <f t="shared" si="1"/>
        <v>58823.52</v>
      </c>
      <c r="R15" s="114"/>
    </row>
    <row r="16" spans="1:18" ht="16.5" thickBot="1">
      <c r="A16" s="239" t="s">
        <v>175</v>
      </c>
      <c r="B16" s="239"/>
      <c r="C16" s="239"/>
      <c r="D16" s="239"/>
      <c r="E16" s="9">
        <f>E15+E14+E13+E12+E11+E10</f>
        <v>1258865.36</v>
      </c>
      <c r="F16" s="9">
        <f aca="true" t="shared" si="2" ref="F16:P16">F15+F14+F13+F12+F11+F10</f>
        <v>1258865.36</v>
      </c>
      <c r="G16" s="9">
        <f t="shared" si="2"/>
        <v>1258865.36</v>
      </c>
      <c r="H16" s="9">
        <f t="shared" si="2"/>
        <v>1258865.36</v>
      </c>
      <c r="I16" s="9">
        <f t="shared" si="2"/>
        <v>1258865.36</v>
      </c>
      <c r="J16" s="9">
        <f t="shared" si="2"/>
        <v>1258865.36</v>
      </c>
      <c r="K16" s="9">
        <f t="shared" si="2"/>
        <v>1258865.36</v>
      </c>
      <c r="L16" s="9">
        <f t="shared" si="2"/>
        <v>1258865.36</v>
      </c>
      <c r="M16" s="9">
        <f t="shared" si="2"/>
        <v>1258865.36</v>
      </c>
      <c r="N16" s="9">
        <f t="shared" si="2"/>
        <v>1258865.36</v>
      </c>
      <c r="O16" s="9">
        <f t="shared" si="2"/>
        <v>1258865.36</v>
      </c>
      <c r="P16" s="9">
        <f t="shared" si="2"/>
        <v>1258865.36</v>
      </c>
      <c r="Q16" s="114">
        <f t="shared" si="1"/>
        <v>15106384.319999998</v>
      </c>
      <c r="R16" s="114"/>
    </row>
    <row r="17" spans="1:18" ht="16.5" thickBot="1">
      <c r="A17" s="235" t="s">
        <v>183</v>
      </c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7"/>
    </row>
    <row r="18" spans="1:18" ht="15.75">
      <c r="A18" s="230" t="s">
        <v>174</v>
      </c>
      <c r="B18" s="230"/>
      <c r="C18" s="230"/>
      <c r="D18" s="230"/>
      <c r="E18" s="238" t="s">
        <v>26</v>
      </c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2" t="s">
        <v>175</v>
      </c>
      <c r="R18" s="232"/>
    </row>
    <row r="19" spans="1:18" ht="15.75">
      <c r="A19" s="231"/>
      <c r="B19" s="231"/>
      <c r="C19" s="231"/>
      <c r="D19" s="231"/>
      <c r="E19" s="21">
        <v>45170</v>
      </c>
      <c r="F19" s="21">
        <v>45200</v>
      </c>
      <c r="G19" s="21">
        <v>45231</v>
      </c>
      <c r="H19" s="21">
        <v>45261</v>
      </c>
      <c r="I19" s="21">
        <v>45292</v>
      </c>
      <c r="J19" s="21">
        <v>45323</v>
      </c>
      <c r="K19" s="21">
        <v>45352</v>
      </c>
      <c r="L19" s="21">
        <v>45383</v>
      </c>
      <c r="M19" s="21">
        <v>45413</v>
      </c>
      <c r="N19" s="21">
        <v>45444</v>
      </c>
      <c r="O19" s="21">
        <v>45474</v>
      </c>
      <c r="P19" s="21">
        <v>45505</v>
      </c>
      <c r="Q19" s="233"/>
      <c r="R19" s="233"/>
    </row>
    <row r="20" spans="1:18" ht="15.75">
      <c r="A20" s="234" t="s">
        <v>176</v>
      </c>
      <c r="B20" s="234"/>
      <c r="C20" s="234"/>
      <c r="D20" s="234"/>
      <c r="E20" s="22">
        <v>56306.31</v>
      </c>
      <c r="F20" s="22">
        <v>56306.31</v>
      </c>
      <c r="G20" s="22">
        <v>56306.31</v>
      </c>
      <c r="H20" s="22">
        <v>56306.31</v>
      </c>
      <c r="I20" s="22">
        <v>56306.31</v>
      </c>
      <c r="J20" s="22">
        <v>56306.31</v>
      </c>
      <c r="K20" s="22">
        <v>56306.31</v>
      </c>
      <c r="L20" s="22">
        <v>56306.31</v>
      </c>
      <c r="M20" s="22">
        <v>56306.31</v>
      </c>
      <c r="N20" s="22">
        <v>56306.31</v>
      </c>
      <c r="O20" s="22">
        <v>56306.31</v>
      </c>
      <c r="P20" s="22">
        <v>56306.31</v>
      </c>
      <c r="Q20" s="114">
        <f>P20+O20+N20+M20+L20+K20+J20+I20+H20+G20+F20+E20</f>
        <v>675675.72</v>
      </c>
      <c r="R20" s="114"/>
    </row>
    <row r="21" spans="1:18" ht="15.75">
      <c r="A21" s="234" t="s">
        <v>178</v>
      </c>
      <c r="B21" s="234"/>
      <c r="C21" s="234"/>
      <c r="D21" s="234"/>
      <c r="E21" s="8">
        <v>858627.96</v>
      </c>
      <c r="F21" s="8">
        <v>858627.96</v>
      </c>
      <c r="G21" s="8">
        <v>858627.96</v>
      </c>
      <c r="H21" s="8">
        <v>858627.96</v>
      </c>
      <c r="I21" s="8">
        <v>858627.96</v>
      </c>
      <c r="J21" s="8">
        <v>858627.96</v>
      </c>
      <c r="K21" s="8">
        <v>858627.96</v>
      </c>
      <c r="L21" s="8">
        <v>858627.96</v>
      </c>
      <c r="M21" s="8">
        <v>858627.96</v>
      </c>
      <c r="N21" s="8">
        <v>858627.96</v>
      </c>
      <c r="O21" s="8">
        <v>858627.96</v>
      </c>
      <c r="P21" s="8">
        <v>858627.96</v>
      </c>
      <c r="Q21" s="114">
        <f aca="true" t="shared" si="3" ref="Q21:Q29">P21+O21+N21+M21+L21+K21+J21+I21+H21+G21+F21+E21</f>
        <v>10303535.52</v>
      </c>
      <c r="R21" s="114"/>
    </row>
    <row r="22" spans="1:18" ht="15.75">
      <c r="A22" s="215" t="s">
        <v>179</v>
      </c>
      <c r="B22" s="216"/>
      <c r="C22" s="216"/>
      <c r="D22" s="217"/>
      <c r="E22" s="8">
        <v>83185.99</v>
      </c>
      <c r="F22" s="8">
        <v>83185.99</v>
      </c>
      <c r="G22" s="8">
        <v>83185.99</v>
      </c>
      <c r="H22" s="8">
        <v>83185.99</v>
      </c>
      <c r="I22" s="8">
        <v>83185.99</v>
      </c>
      <c r="J22" s="8">
        <v>83185.99</v>
      </c>
      <c r="K22" s="8">
        <v>83185.99</v>
      </c>
      <c r="L22" s="8">
        <v>83185.99</v>
      </c>
      <c r="M22" s="8">
        <v>83185.99</v>
      </c>
      <c r="N22" s="8">
        <v>83185.99</v>
      </c>
      <c r="O22" s="8">
        <v>83185.99</v>
      </c>
      <c r="P22" s="8">
        <v>83185.99</v>
      </c>
      <c r="Q22" s="213">
        <f t="shared" si="3"/>
        <v>998231.88</v>
      </c>
      <c r="R22" s="214"/>
    </row>
    <row r="23" spans="1:18" ht="15.75">
      <c r="A23" s="215" t="s">
        <v>180</v>
      </c>
      <c r="B23" s="216"/>
      <c r="C23" s="216"/>
      <c r="D23" s="217"/>
      <c r="E23" s="8">
        <v>189803.92</v>
      </c>
      <c r="F23" s="8">
        <v>189803.92</v>
      </c>
      <c r="G23" s="8">
        <v>189803.92</v>
      </c>
      <c r="H23" s="8">
        <v>189803.92</v>
      </c>
      <c r="I23" s="8">
        <v>189803.92</v>
      </c>
      <c r="J23" s="8">
        <v>189803.92</v>
      </c>
      <c r="K23" s="8">
        <v>189803.92</v>
      </c>
      <c r="L23" s="8">
        <v>189803.92</v>
      </c>
      <c r="M23" s="8">
        <v>189803.92</v>
      </c>
      <c r="N23" s="8">
        <v>189803.92</v>
      </c>
      <c r="O23" s="8">
        <v>189803.92</v>
      </c>
      <c r="P23" s="8">
        <v>189803.92</v>
      </c>
      <c r="Q23" s="213">
        <f t="shared" si="3"/>
        <v>2277647.0399999996</v>
      </c>
      <c r="R23" s="214"/>
    </row>
    <row r="24" spans="1:18" ht="15.75">
      <c r="A24" s="215" t="s">
        <v>181</v>
      </c>
      <c r="B24" s="216"/>
      <c r="C24" s="216"/>
      <c r="D24" s="217"/>
      <c r="E24" s="8">
        <v>66039.22</v>
      </c>
      <c r="F24" s="8">
        <v>66039.22</v>
      </c>
      <c r="G24" s="8">
        <v>66039.22</v>
      </c>
      <c r="H24" s="8">
        <v>66039.22</v>
      </c>
      <c r="I24" s="8">
        <v>66039.22</v>
      </c>
      <c r="J24" s="8">
        <v>66039.22</v>
      </c>
      <c r="K24" s="8">
        <v>66039.22</v>
      </c>
      <c r="L24" s="8">
        <v>66039.22</v>
      </c>
      <c r="M24" s="8">
        <v>66039.22</v>
      </c>
      <c r="N24" s="8">
        <v>66039.22</v>
      </c>
      <c r="O24" s="8">
        <v>66039.22</v>
      </c>
      <c r="P24" s="8">
        <v>66039.22</v>
      </c>
      <c r="Q24" s="213">
        <f t="shared" si="3"/>
        <v>792470.6399999998</v>
      </c>
      <c r="R24" s="214"/>
    </row>
    <row r="25" spans="1:18" ht="15.75">
      <c r="A25" s="215" t="s">
        <v>184</v>
      </c>
      <c r="B25" s="216"/>
      <c r="C25" s="216"/>
      <c r="D25" s="217"/>
      <c r="E25" s="8">
        <v>1196383.39</v>
      </c>
      <c r="F25" s="8">
        <v>1196383.39</v>
      </c>
      <c r="G25" s="8">
        <v>1196383.39</v>
      </c>
      <c r="H25" s="8">
        <v>1196383.39</v>
      </c>
      <c r="I25" s="8">
        <v>1196383.39</v>
      </c>
      <c r="J25" s="8">
        <v>1196383.39</v>
      </c>
      <c r="K25" s="8">
        <v>1196383.39</v>
      </c>
      <c r="L25" s="8">
        <v>1196383.39</v>
      </c>
      <c r="M25" s="8">
        <v>1196383.39</v>
      </c>
      <c r="N25" s="8">
        <v>1196383.39</v>
      </c>
      <c r="O25" s="8">
        <v>1196383.39</v>
      </c>
      <c r="P25" s="8">
        <v>1196383.39</v>
      </c>
      <c r="Q25" s="213">
        <f t="shared" si="3"/>
        <v>14356600.680000002</v>
      </c>
      <c r="R25" s="214"/>
    </row>
    <row r="26" spans="1:18" ht="15.75">
      <c r="A26" s="215" t="s">
        <v>185</v>
      </c>
      <c r="B26" s="216"/>
      <c r="C26" s="216"/>
      <c r="D26" s="217"/>
      <c r="E26" s="8">
        <v>110146.97</v>
      </c>
      <c r="F26" s="8">
        <v>110146.97</v>
      </c>
      <c r="G26" s="8">
        <v>110146.97</v>
      </c>
      <c r="H26" s="8">
        <v>110146.97</v>
      </c>
      <c r="I26" s="8">
        <v>110146.97</v>
      </c>
      <c r="J26" s="8">
        <v>110146.97</v>
      </c>
      <c r="K26" s="8">
        <v>110146.97</v>
      </c>
      <c r="L26" s="8">
        <v>110146.97</v>
      </c>
      <c r="M26" s="8">
        <v>110146.97</v>
      </c>
      <c r="N26" s="8">
        <v>110146.97</v>
      </c>
      <c r="O26" s="8">
        <v>110146.97</v>
      </c>
      <c r="P26" s="8">
        <v>110146.97</v>
      </c>
      <c r="Q26" s="213">
        <f t="shared" si="3"/>
        <v>1321763.64</v>
      </c>
      <c r="R26" s="214"/>
    </row>
    <row r="27" spans="1:18" ht="15.75">
      <c r="A27" s="215" t="s">
        <v>186</v>
      </c>
      <c r="B27" s="216"/>
      <c r="C27" s="216"/>
      <c r="D27" s="217"/>
      <c r="E27" s="8">
        <v>94901.96</v>
      </c>
      <c r="F27" s="8">
        <v>94901.96</v>
      </c>
      <c r="G27" s="8">
        <v>94901.96</v>
      </c>
      <c r="H27" s="8">
        <v>94901.96</v>
      </c>
      <c r="I27" s="8">
        <v>94901.96</v>
      </c>
      <c r="J27" s="8">
        <v>94901.96</v>
      </c>
      <c r="K27" s="8">
        <v>94901.96</v>
      </c>
      <c r="L27" s="8">
        <v>94901.96</v>
      </c>
      <c r="M27" s="8">
        <v>94901.96</v>
      </c>
      <c r="N27" s="8">
        <v>94901.96</v>
      </c>
      <c r="O27" s="8">
        <v>94901.96</v>
      </c>
      <c r="P27" s="8">
        <v>94901.96</v>
      </c>
      <c r="Q27" s="213">
        <f t="shared" si="3"/>
        <v>1138823.5199999998</v>
      </c>
      <c r="R27" s="214"/>
    </row>
    <row r="28" spans="1:18" ht="15.75">
      <c r="A28" s="215" t="s">
        <v>187</v>
      </c>
      <c r="B28" s="216"/>
      <c r="C28" s="216"/>
      <c r="D28" s="217"/>
      <c r="E28" s="8">
        <v>33019.61</v>
      </c>
      <c r="F28" s="8">
        <v>33019.61</v>
      </c>
      <c r="G28" s="8">
        <v>33019.61</v>
      </c>
      <c r="H28" s="8">
        <v>33019.61</v>
      </c>
      <c r="I28" s="8">
        <v>33019.61</v>
      </c>
      <c r="J28" s="8">
        <v>33019.61</v>
      </c>
      <c r="K28" s="8">
        <v>33019.61</v>
      </c>
      <c r="L28" s="8">
        <v>33019.61</v>
      </c>
      <c r="M28" s="8">
        <v>33019.61</v>
      </c>
      <c r="N28" s="8">
        <v>33019.61</v>
      </c>
      <c r="O28" s="8">
        <v>33019.61</v>
      </c>
      <c r="P28" s="8">
        <v>33019.61</v>
      </c>
      <c r="Q28" s="213">
        <f t="shared" si="3"/>
        <v>396235.3199999999</v>
      </c>
      <c r="R28" s="214"/>
    </row>
    <row r="29" spans="1:18" ht="15.75">
      <c r="A29" s="215" t="s">
        <v>182</v>
      </c>
      <c r="B29" s="216"/>
      <c r="C29" s="216"/>
      <c r="D29" s="217"/>
      <c r="E29" s="8">
        <v>4901.96</v>
      </c>
      <c r="F29" s="8">
        <v>4901.96</v>
      </c>
      <c r="G29" s="8">
        <v>4901.96</v>
      </c>
      <c r="H29" s="8">
        <v>4901.96</v>
      </c>
      <c r="I29" s="8">
        <v>4901.96</v>
      </c>
      <c r="J29" s="8">
        <v>4901.96</v>
      </c>
      <c r="K29" s="8">
        <v>4901.96</v>
      </c>
      <c r="L29" s="8">
        <v>4901.96</v>
      </c>
      <c r="M29" s="8">
        <v>4901.96</v>
      </c>
      <c r="N29" s="8">
        <v>4901.96</v>
      </c>
      <c r="O29" s="8">
        <v>4901.96</v>
      </c>
      <c r="P29" s="8">
        <v>4901.96</v>
      </c>
      <c r="Q29" s="213">
        <f t="shared" si="3"/>
        <v>58823.52</v>
      </c>
      <c r="R29" s="214"/>
    </row>
    <row r="30" spans="1:18" ht="16.5" thickBot="1">
      <c r="A30" s="163" t="s">
        <v>175</v>
      </c>
      <c r="B30" s="164"/>
      <c r="C30" s="164"/>
      <c r="D30" s="165"/>
      <c r="E30" s="9">
        <f aca="true" t="shared" si="4" ref="E30:P30">E29+E28+E27+E26+E25+E24+E23+E22+E21+E20</f>
        <v>2693317.2899999996</v>
      </c>
      <c r="F30" s="9">
        <f t="shared" si="4"/>
        <v>2693317.2899999996</v>
      </c>
      <c r="G30" s="9">
        <f t="shared" si="4"/>
        <v>2693317.2899999996</v>
      </c>
      <c r="H30" s="9">
        <f t="shared" si="4"/>
        <v>2693317.2899999996</v>
      </c>
      <c r="I30" s="9">
        <f t="shared" si="4"/>
        <v>2693317.2899999996</v>
      </c>
      <c r="J30" s="9">
        <f t="shared" si="4"/>
        <v>2693317.2899999996</v>
      </c>
      <c r="K30" s="9">
        <f t="shared" si="4"/>
        <v>2693317.2899999996</v>
      </c>
      <c r="L30" s="9">
        <f t="shared" si="4"/>
        <v>2693317.2899999996</v>
      </c>
      <c r="M30" s="9">
        <f t="shared" si="4"/>
        <v>2693317.2899999996</v>
      </c>
      <c r="N30" s="9">
        <f t="shared" si="4"/>
        <v>2693317.2899999996</v>
      </c>
      <c r="O30" s="9">
        <f t="shared" si="4"/>
        <v>2693317.2899999996</v>
      </c>
      <c r="P30" s="9">
        <f t="shared" si="4"/>
        <v>2693317.2899999996</v>
      </c>
      <c r="Q30" s="213">
        <f>P30+O30+N30+M30+L30+K30+J30+I30+H30+G30+F30+E30</f>
        <v>32319807.479999993</v>
      </c>
      <c r="R30" s="214"/>
    </row>
    <row r="31" spans="1:18" ht="16.5" thickBot="1">
      <c r="A31" s="235" t="s">
        <v>188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7"/>
    </row>
    <row r="32" spans="1:18" ht="15.75">
      <c r="A32" s="230" t="s">
        <v>174</v>
      </c>
      <c r="B32" s="230"/>
      <c r="C32" s="230"/>
      <c r="D32" s="230"/>
      <c r="E32" s="238" t="s">
        <v>26</v>
      </c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2" t="s">
        <v>175</v>
      </c>
      <c r="R32" s="232"/>
    </row>
    <row r="33" spans="1:18" ht="15.75">
      <c r="A33" s="231"/>
      <c r="B33" s="231"/>
      <c r="C33" s="231"/>
      <c r="D33" s="231"/>
      <c r="E33" s="21">
        <v>45536</v>
      </c>
      <c r="F33" s="21">
        <v>45566</v>
      </c>
      <c r="G33" s="21">
        <v>45597</v>
      </c>
      <c r="H33" s="21">
        <v>45627</v>
      </c>
      <c r="I33" s="21">
        <v>45658</v>
      </c>
      <c r="J33" s="21">
        <v>45689</v>
      </c>
      <c r="K33" s="21">
        <v>45717</v>
      </c>
      <c r="L33" s="21">
        <v>45748</v>
      </c>
      <c r="M33" s="21">
        <v>45778</v>
      </c>
      <c r="N33" s="21">
        <v>45809</v>
      </c>
      <c r="O33" s="21">
        <v>45839</v>
      </c>
      <c r="P33" s="21">
        <v>45870</v>
      </c>
      <c r="Q33" s="233"/>
      <c r="R33" s="233"/>
    </row>
    <row r="34" spans="1:18" ht="15.75">
      <c r="A34" s="234" t="s">
        <v>176</v>
      </c>
      <c r="B34" s="234"/>
      <c r="C34" s="234"/>
      <c r="D34" s="234"/>
      <c r="E34" s="22">
        <v>56306.31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114">
        <f aca="true" t="shared" si="5" ref="Q34:Q43">P34+O34+N34+M34+L34+K34+J34+I34+H34+G34+F34+E34</f>
        <v>56306.31</v>
      </c>
      <c r="R34" s="114"/>
    </row>
    <row r="35" spans="1:18" ht="15.75">
      <c r="A35" s="234" t="s">
        <v>178</v>
      </c>
      <c r="B35" s="234"/>
      <c r="C35" s="234"/>
      <c r="D35" s="234"/>
      <c r="E35" s="8">
        <v>858627.96</v>
      </c>
      <c r="F35" s="8">
        <v>858627.96</v>
      </c>
      <c r="G35" s="8">
        <v>858627.96</v>
      </c>
      <c r="H35" s="8">
        <v>858627.96</v>
      </c>
      <c r="I35" s="8">
        <v>858627.96</v>
      </c>
      <c r="J35" s="8">
        <v>858627.96</v>
      </c>
      <c r="K35" s="8">
        <v>858627.96</v>
      </c>
      <c r="L35" s="8">
        <v>858627.96</v>
      </c>
      <c r="M35" s="8">
        <v>858627.96</v>
      </c>
      <c r="N35" s="8">
        <v>858627.96</v>
      </c>
      <c r="O35" s="8">
        <v>858627.96</v>
      </c>
      <c r="P35" s="8">
        <v>858627.96</v>
      </c>
      <c r="Q35" s="114">
        <f t="shared" si="5"/>
        <v>10303535.52</v>
      </c>
      <c r="R35" s="114"/>
    </row>
    <row r="36" spans="1:18" ht="15.75">
      <c r="A36" s="215" t="s">
        <v>179</v>
      </c>
      <c r="B36" s="216"/>
      <c r="C36" s="216"/>
      <c r="D36" s="217"/>
      <c r="E36" s="8">
        <v>83185.99</v>
      </c>
      <c r="F36" s="8">
        <v>83185.99</v>
      </c>
      <c r="G36" s="8">
        <v>83185.99</v>
      </c>
      <c r="H36" s="8">
        <v>83185.99</v>
      </c>
      <c r="I36" s="8">
        <v>83185.99</v>
      </c>
      <c r="J36" s="8">
        <v>83185.99</v>
      </c>
      <c r="K36" s="8">
        <v>83185.99</v>
      </c>
      <c r="L36" s="8">
        <v>83185.99</v>
      </c>
      <c r="M36" s="8">
        <v>83185.99</v>
      </c>
      <c r="N36" s="8">
        <v>83185.99</v>
      </c>
      <c r="O36" s="8">
        <v>83185.99</v>
      </c>
      <c r="P36" s="8">
        <v>83185.99</v>
      </c>
      <c r="Q36" s="213">
        <f t="shared" si="5"/>
        <v>998231.88</v>
      </c>
      <c r="R36" s="214"/>
    </row>
    <row r="37" spans="1:18" ht="15.75">
      <c r="A37" s="215" t="s">
        <v>180</v>
      </c>
      <c r="B37" s="216"/>
      <c r="C37" s="216"/>
      <c r="D37" s="217"/>
      <c r="E37" s="8">
        <v>189803.92</v>
      </c>
      <c r="F37" s="8">
        <v>189803.92</v>
      </c>
      <c r="G37" s="8">
        <v>189803.92</v>
      </c>
      <c r="H37" s="8">
        <v>189803.92</v>
      </c>
      <c r="I37" s="8">
        <v>189803.92</v>
      </c>
      <c r="J37" s="8">
        <v>189803.92</v>
      </c>
      <c r="K37" s="8">
        <v>189803.92</v>
      </c>
      <c r="L37" s="8">
        <v>189803.92</v>
      </c>
      <c r="M37" s="8">
        <v>189803.92</v>
      </c>
      <c r="N37" s="8">
        <v>189803.92</v>
      </c>
      <c r="O37" s="8">
        <v>189803.92</v>
      </c>
      <c r="P37" s="8">
        <v>189803.92</v>
      </c>
      <c r="Q37" s="213">
        <f t="shared" si="5"/>
        <v>2277647.0399999996</v>
      </c>
      <c r="R37" s="214"/>
    </row>
    <row r="38" spans="1:18" ht="15.75">
      <c r="A38" s="215" t="s">
        <v>181</v>
      </c>
      <c r="B38" s="216"/>
      <c r="C38" s="216"/>
      <c r="D38" s="217"/>
      <c r="E38" s="8">
        <v>66039.22</v>
      </c>
      <c r="F38" s="8">
        <v>66039.22</v>
      </c>
      <c r="G38" s="8">
        <v>66039.22</v>
      </c>
      <c r="H38" s="8">
        <v>66039.22</v>
      </c>
      <c r="I38" s="8">
        <v>66039.22</v>
      </c>
      <c r="J38" s="8">
        <v>66039.22</v>
      </c>
      <c r="K38" s="8">
        <v>66039.22</v>
      </c>
      <c r="L38" s="8">
        <v>66039.22</v>
      </c>
      <c r="M38" s="8">
        <v>66039.22</v>
      </c>
      <c r="N38" s="8">
        <v>66039.22</v>
      </c>
      <c r="O38" s="8">
        <v>66039.22</v>
      </c>
      <c r="P38" s="8">
        <v>66039.22</v>
      </c>
      <c r="Q38" s="213">
        <f t="shared" si="5"/>
        <v>792470.6399999998</v>
      </c>
      <c r="R38" s="214"/>
    </row>
    <row r="39" spans="1:18" ht="15.75">
      <c r="A39" s="215" t="s">
        <v>184</v>
      </c>
      <c r="B39" s="216"/>
      <c r="C39" s="216"/>
      <c r="D39" s="217"/>
      <c r="E39" s="8">
        <v>1196383.39</v>
      </c>
      <c r="F39" s="8">
        <v>1196383.39</v>
      </c>
      <c r="G39" s="8">
        <v>1196383.39</v>
      </c>
      <c r="H39" s="8">
        <v>1196383.39</v>
      </c>
      <c r="I39" s="8">
        <v>1196383.39</v>
      </c>
      <c r="J39" s="8">
        <v>1196383.39</v>
      </c>
      <c r="K39" s="8">
        <v>1196383.39</v>
      </c>
      <c r="L39" s="8">
        <v>1196383.39</v>
      </c>
      <c r="M39" s="8">
        <v>1196383.39</v>
      </c>
      <c r="N39" s="8">
        <v>1196383.39</v>
      </c>
      <c r="O39" s="8">
        <v>1196383.39</v>
      </c>
      <c r="P39" s="8">
        <v>1196383.39</v>
      </c>
      <c r="Q39" s="213">
        <f t="shared" si="5"/>
        <v>14356600.680000002</v>
      </c>
      <c r="R39" s="214"/>
    </row>
    <row r="40" spans="1:18" ht="15.75">
      <c r="A40" s="215" t="s">
        <v>185</v>
      </c>
      <c r="B40" s="216"/>
      <c r="C40" s="216"/>
      <c r="D40" s="217"/>
      <c r="E40" s="8">
        <v>110146.97</v>
      </c>
      <c r="F40" s="8">
        <v>110146.97</v>
      </c>
      <c r="G40" s="8">
        <v>110146.97</v>
      </c>
      <c r="H40" s="8">
        <v>110146.97</v>
      </c>
      <c r="I40" s="8">
        <v>110146.97</v>
      </c>
      <c r="J40" s="8">
        <v>110146.97</v>
      </c>
      <c r="K40" s="8">
        <v>110146.97</v>
      </c>
      <c r="L40" s="8">
        <v>110146.97</v>
      </c>
      <c r="M40" s="8">
        <v>110146.97</v>
      </c>
      <c r="N40" s="8">
        <v>110146.97</v>
      </c>
      <c r="O40" s="8">
        <v>110146.97</v>
      </c>
      <c r="P40" s="8">
        <v>110146.97</v>
      </c>
      <c r="Q40" s="213">
        <f t="shared" si="5"/>
        <v>1321763.64</v>
      </c>
      <c r="R40" s="214"/>
    </row>
    <row r="41" spans="1:18" ht="15.75">
      <c r="A41" s="215" t="s">
        <v>186</v>
      </c>
      <c r="B41" s="216"/>
      <c r="C41" s="216"/>
      <c r="D41" s="217"/>
      <c r="E41" s="8">
        <v>94901.96</v>
      </c>
      <c r="F41" s="8">
        <v>94901.96</v>
      </c>
      <c r="G41" s="8">
        <v>94901.96</v>
      </c>
      <c r="H41" s="8">
        <v>94901.96</v>
      </c>
      <c r="I41" s="8">
        <v>94901.96</v>
      </c>
      <c r="J41" s="8">
        <v>94901.96</v>
      </c>
      <c r="K41" s="8">
        <v>94901.96</v>
      </c>
      <c r="L41" s="8">
        <v>94901.96</v>
      </c>
      <c r="M41" s="8">
        <v>94901.96</v>
      </c>
      <c r="N41" s="8">
        <v>94901.96</v>
      </c>
      <c r="O41" s="8">
        <v>94901.96</v>
      </c>
      <c r="P41" s="8">
        <v>94901.96</v>
      </c>
      <c r="Q41" s="213">
        <f t="shared" si="5"/>
        <v>1138823.5199999998</v>
      </c>
      <c r="R41" s="214"/>
    </row>
    <row r="42" spans="1:18" ht="15.75">
      <c r="A42" s="215" t="s">
        <v>187</v>
      </c>
      <c r="B42" s="216"/>
      <c r="C42" s="216"/>
      <c r="D42" s="217"/>
      <c r="E42" s="8">
        <v>33019.61</v>
      </c>
      <c r="F42" s="8">
        <v>33019.61</v>
      </c>
      <c r="G42" s="8">
        <v>33019.61</v>
      </c>
      <c r="H42" s="8">
        <v>33019.61</v>
      </c>
      <c r="I42" s="8">
        <v>33019.61</v>
      </c>
      <c r="J42" s="8">
        <v>33019.61</v>
      </c>
      <c r="K42" s="8">
        <v>33019.61</v>
      </c>
      <c r="L42" s="8">
        <v>33019.61</v>
      </c>
      <c r="M42" s="8">
        <v>33019.61</v>
      </c>
      <c r="N42" s="8">
        <v>33019.61</v>
      </c>
      <c r="O42" s="8">
        <v>33019.61</v>
      </c>
      <c r="P42" s="8">
        <v>33019.61</v>
      </c>
      <c r="Q42" s="213">
        <f t="shared" si="5"/>
        <v>396235.3199999999</v>
      </c>
      <c r="R42" s="214"/>
    </row>
    <row r="43" spans="1:18" ht="15.75">
      <c r="A43" s="215" t="s">
        <v>182</v>
      </c>
      <c r="B43" s="216"/>
      <c r="C43" s="216"/>
      <c r="D43" s="217"/>
      <c r="E43" s="8">
        <v>4901.96</v>
      </c>
      <c r="F43" s="8">
        <v>4901.96</v>
      </c>
      <c r="G43" s="8">
        <v>4901.96</v>
      </c>
      <c r="H43" s="8">
        <v>4901.96</v>
      </c>
      <c r="I43" s="8">
        <v>4901.96</v>
      </c>
      <c r="J43" s="8">
        <v>4901.96</v>
      </c>
      <c r="K43" s="8">
        <v>4901.96</v>
      </c>
      <c r="L43" s="8">
        <v>4901.96</v>
      </c>
      <c r="M43" s="8">
        <v>4901.96</v>
      </c>
      <c r="N43" s="8">
        <v>4901.96</v>
      </c>
      <c r="O43" s="8">
        <v>4901.96</v>
      </c>
      <c r="P43" s="8">
        <v>4901.96</v>
      </c>
      <c r="Q43" s="213">
        <f t="shared" si="5"/>
        <v>58823.52</v>
      </c>
      <c r="R43" s="214"/>
    </row>
    <row r="44" spans="1:18" ht="16.5" thickBot="1">
      <c r="A44" s="163" t="s">
        <v>175</v>
      </c>
      <c r="B44" s="164"/>
      <c r="C44" s="164"/>
      <c r="D44" s="165"/>
      <c r="E44" s="9">
        <f aca="true" t="shared" si="6" ref="E44:P44">E43+E42+E41+E40+E39+E38+E37+E36+E35+E34</f>
        <v>2693317.2899999996</v>
      </c>
      <c r="F44" s="9">
        <f t="shared" si="6"/>
        <v>2637010.9799999995</v>
      </c>
      <c r="G44" s="9">
        <f t="shared" si="6"/>
        <v>2637010.9799999995</v>
      </c>
      <c r="H44" s="9">
        <f t="shared" si="6"/>
        <v>2637010.9799999995</v>
      </c>
      <c r="I44" s="9">
        <f t="shared" si="6"/>
        <v>2637010.9799999995</v>
      </c>
      <c r="J44" s="9">
        <f t="shared" si="6"/>
        <v>2637010.9799999995</v>
      </c>
      <c r="K44" s="9">
        <f t="shared" si="6"/>
        <v>2637010.9799999995</v>
      </c>
      <c r="L44" s="9">
        <f t="shared" si="6"/>
        <v>2637010.9799999995</v>
      </c>
      <c r="M44" s="9">
        <f t="shared" si="6"/>
        <v>2637010.9799999995</v>
      </c>
      <c r="N44" s="9">
        <f t="shared" si="6"/>
        <v>2637010.9799999995</v>
      </c>
      <c r="O44" s="9">
        <f t="shared" si="6"/>
        <v>2637010.9799999995</v>
      </c>
      <c r="P44" s="9">
        <f t="shared" si="6"/>
        <v>2637010.9799999995</v>
      </c>
      <c r="Q44" s="213">
        <f>P44+O44+N44+M44+L44+K44+J44+I44+H44+G44+F44+E44</f>
        <v>31700438.07</v>
      </c>
      <c r="R44" s="214"/>
    </row>
    <row r="45" spans="1:18" ht="16.5" thickBot="1">
      <c r="A45" s="235" t="s">
        <v>189</v>
      </c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7"/>
    </row>
    <row r="46" spans="1:18" ht="15.75">
      <c r="A46" s="230" t="s">
        <v>174</v>
      </c>
      <c r="B46" s="230"/>
      <c r="C46" s="230"/>
      <c r="D46" s="230"/>
      <c r="E46" s="238" t="s">
        <v>26</v>
      </c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2" t="s">
        <v>175</v>
      </c>
      <c r="R46" s="232"/>
    </row>
    <row r="47" spans="1:18" ht="15.75">
      <c r="A47" s="231"/>
      <c r="B47" s="231"/>
      <c r="C47" s="231"/>
      <c r="D47" s="231"/>
      <c r="E47" s="21">
        <v>45901</v>
      </c>
      <c r="F47" s="21">
        <v>45931</v>
      </c>
      <c r="G47" s="21">
        <v>45962</v>
      </c>
      <c r="H47" s="21">
        <v>45992</v>
      </c>
      <c r="I47" s="21">
        <v>46023</v>
      </c>
      <c r="J47" s="21">
        <v>46054</v>
      </c>
      <c r="K47" s="21">
        <v>46082</v>
      </c>
      <c r="L47" s="21">
        <v>46113</v>
      </c>
      <c r="M47" s="21">
        <v>46143</v>
      </c>
      <c r="N47" s="21">
        <v>46174</v>
      </c>
      <c r="O47" s="21">
        <v>46204</v>
      </c>
      <c r="P47" s="21">
        <v>46235</v>
      </c>
      <c r="Q47" s="233"/>
      <c r="R47" s="233"/>
    </row>
    <row r="48" spans="1:18" ht="15.75">
      <c r="A48" s="215" t="s">
        <v>178</v>
      </c>
      <c r="B48" s="216"/>
      <c r="C48" s="216"/>
      <c r="D48" s="217"/>
      <c r="E48" s="8">
        <v>858627.96</v>
      </c>
      <c r="F48" s="8">
        <v>858627.96</v>
      </c>
      <c r="G48" s="8">
        <v>858627.96</v>
      </c>
      <c r="H48" s="8">
        <v>858627.96</v>
      </c>
      <c r="I48" s="8">
        <v>858627.96</v>
      </c>
      <c r="J48" s="8">
        <v>858627.96</v>
      </c>
      <c r="K48" s="8">
        <v>858627.96</v>
      </c>
      <c r="L48" s="8">
        <v>858627.96</v>
      </c>
      <c r="M48" s="8">
        <v>858627.96</v>
      </c>
      <c r="N48" s="8">
        <v>858627.96</v>
      </c>
      <c r="O48" s="8">
        <v>858627.96</v>
      </c>
      <c r="P48" s="8">
        <v>858627.96</v>
      </c>
      <c r="Q48" s="213">
        <f aca="true" t="shared" si="7" ref="Q48:Q56">P48+O48+N48+M48+L48+K48+J48+I48+H48+G48+F48+E48</f>
        <v>10303535.52</v>
      </c>
      <c r="R48" s="214"/>
    </row>
    <row r="49" spans="1:18" ht="15.75">
      <c r="A49" s="215" t="s">
        <v>179</v>
      </c>
      <c r="B49" s="216"/>
      <c r="C49" s="216"/>
      <c r="D49" s="217"/>
      <c r="E49" s="8">
        <v>83185.99</v>
      </c>
      <c r="F49" s="8">
        <v>83185.99</v>
      </c>
      <c r="G49" s="8">
        <v>83185.99</v>
      </c>
      <c r="H49" s="8">
        <v>83185.99</v>
      </c>
      <c r="I49" s="8">
        <v>83185.99</v>
      </c>
      <c r="J49" s="8">
        <v>83185.99</v>
      </c>
      <c r="K49" s="8">
        <v>83185.99</v>
      </c>
      <c r="L49" s="8">
        <v>83185.99</v>
      </c>
      <c r="M49" s="8">
        <v>83185.99</v>
      </c>
      <c r="N49" s="8">
        <v>83185.99</v>
      </c>
      <c r="O49" s="8">
        <v>83185.99</v>
      </c>
      <c r="P49" s="8">
        <v>83185.99</v>
      </c>
      <c r="Q49" s="213">
        <f t="shared" si="7"/>
        <v>998231.88</v>
      </c>
      <c r="R49" s="214"/>
    </row>
    <row r="50" spans="1:18" ht="15.75">
      <c r="A50" s="215" t="s">
        <v>180</v>
      </c>
      <c r="B50" s="216"/>
      <c r="C50" s="216"/>
      <c r="D50" s="217"/>
      <c r="E50" s="8">
        <v>189803.92</v>
      </c>
      <c r="F50" s="8">
        <v>189803.92</v>
      </c>
      <c r="G50" s="8">
        <v>189803.92</v>
      </c>
      <c r="H50" s="8">
        <v>189803.92</v>
      </c>
      <c r="I50" s="8">
        <v>189803.92</v>
      </c>
      <c r="J50" s="8">
        <v>189803.92</v>
      </c>
      <c r="K50" s="8">
        <v>189803.92</v>
      </c>
      <c r="L50" s="8">
        <v>189803.92</v>
      </c>
      <c r="M50" s="8">
        <v>189803.92</v>
      </c>
      <c r="N50" s="8">
        <v>189803.92</v>
      </c>
      <c r="O50" s="8">
        <v>189803.92</v>
      </c>
      <c r="P50" s="8">
        <v>189803.92</v>
      </c>
      <c r="Q50" s="213">
        <f t="shared" si="7"/>
        <v>2277647.0399999996</v>
      </c>
      <c r="R50" s="214"/>
    </row>
    <row r="51" spans="1:18" ht="15.75">
      <c r="A51" s="215" t="s">
        <v>181</v>
      </c>
      <c r="B51" s="216"/>
      <c r="C51" s="216"/>
      <c r="D51" s="217"/>
      <c r="E51" s="8">
        <v>66039.22</v>
      </c>
      <c r="F51" s="8">
        <v>66039.22</v>
      </c>
      <c r="G51" s="8">
        <v>66039.22</v>
      </c>
      <c r="H51" s="8">
        <v>66039.22</v>
      </c>
      <c r="I51" s="8">
        <v>66039.22</v>
      </c>
      <c r="J51" s="8">
        <v>66039.22</v>
      </c>
      <c r="K51" s="8">
        <v>66039.22</v>
      </c>
      <c r="L51" s="8">
        <v>66039.22</v>
      </c>
      <c r="M51" s="8">
        <v>66039.22</v>
      </c>
      <c r="N51" s="8">
        <v>66039.22</v>
      </c>
      <c r="O51" s="8">
        <v>66039.22</v>
      </c>
      <c r="P51" s="8">
        <v>66039.22</v>
      </c>
      <c r="Q51" s="213">
        <f t="shared" si="7"/>
        <v>792470.6399999998</v>
      </c>
      <c r="R51" s="214"/>
    </row>
    <row r="52" spans="1:18" ht="15.75">
      <c r="A52" s="215" t="s">
        <v>184</v>
      </c>
      <c r="B52" s="216"/>
      <c r="C52" s="216"/>
      <c r="D52" s="217"/>
      <c r="E52" s="8">
        <v>1196383.39</v>
      </c>
      <c r="F52" s="8">
        <v>1196383.39</v>
      </c>
      <c r="G52" s="8">
        <v>1196383.39</v>
      </c>
      <c r="H52" s="8">
        <v>1196383.39</v>
      </c>
      <c r="I52" s="8">
        <v>1196383.39</v>
      </c>
      <c r="J52" s="8">
        <v>1196383.39</v>
      </c>
      <c r="K52" s="8">
        <v>1196383.39</v>
      </c>
      <c r="L52" s="8">
        <v>1196383.39</v>
      </c>
      <c r="M52" s="8">
        <v>1196383.39</v>
      </c>
      <c r="N52" s="8">
        <v>1196383.39</v>
      </c>
      <c r="O52" s="8">
        <v>1196383.39</v>
      </c>
      <c r="P52" s="8">
        <v>1196383.39</v>
      </c>
      <c r="Q52" s="213">
        <f t="shared" si="7"/>
        <v>14356600.680000002</v>
      </c>
      <c r="R52" s="214"/>
    </row>
    <row r="53" spans="1:18" ht="15.75">
      <c r="A53" s="215" t="s">
        <v>185</v>
      </c>
      <c r="B53" s="216"/>
      <c r="C53" s="216"/>
      <c r="D53" s="217"/>
      <c r="E53" s="8">
        <v>110146.97</v>
      </c>
      <c r="F53" s="8">
        <v>110146.97</v>
      </c>
      <c r="G53" s="8">
        <v>110146.97</v>
      </c>
      <c r="H53" s="8">
        <v>110146.97</v>
      </c>
      <c r="I53" s="8">
        <v>110146.97</v>
      </c>
      <c r="J53" s="8">
        <v>110146.97</v>
      </c>
      <c r="K53" s="8">
        <v>110146.97</v>
      </c>
      <c r="L53" s="8">
        <v>110146.97</v>
      </c>
      <c r="M53" s="8">
        <v>110146.97</v>
      </c>
      <c r="N53" s="8">
        <v>110146.97</v>
      </c>
      <c r="O53" s="8">
        <v>110146.97</v>
      </c>
      <c r="P53" s="8">
        <v>110146.97</v>
      </c>
      <c r="Q53" s="213">
        <f t="shared" si="7"/>
        <v>1321763.64</v>
      </c>
      <c r="R53" s="214"/>
    </row>
    <row r="54" spans="1:18" ht="15.75">
      <c r="A54" s="215" t="s">
        <v>186</v>
      </c>
      <c r="B54" s="216"/>
      <c r="C54" s="216"/>
      <c r="D54" s="217"/>
      <c r="E54" s="8">
        <v>94901.96</v>
      </c>
      <c r="F54" s="8">
        <v>94901.96</v>
      </c>
      <c r="G54" s="8">
        <v>94901.96</v>
      </c>
      <c r="H54" s="8">
        <v>94901.96</v>
      </c>
      <c r="I54" s="8">
        <v>94901.96</v>
      </c>
      <c r="J54" s="8">
        <v>94901.96</v>
      </c>
      <c r="K54" s="8">
        <v>94901.96</v>
      </c>
      <c r="L54" s="8">
        <v>94901.96</v>
      </c>
      <c r="M54" s="8">
        <v>94901.96</v>
      </c>
      <c r="N54" s="8">
        <v>94901.96</v>
      </c>
      <c r="O54" s="8">
        <v>94901.96</v>
      </c>
      <c r="P54" s="8">
        <v>94901.96</v>
      </c>
      <c r="Q54" s="213">
        <f t="shared" si="7"/>
        <v>1138823.5199999998</v>
      </c>
      <c r="R54" s="214"/>
    </row>
    <row r="55" spans="1:18" ht="15.75">
      <c r="A55" s="215" t="s">
        <v>187</v>
      </c>
      <c r="B55" s="216"/>
      <c r="C55" s="216"/>
      <c r="D55" s="217"/>
      <c r="E55" s="8">
        <v>33019.61</v>
      </c>
      <c r="F55" s="8">
        <v>33019.61</v>
      </c>
      <c r="G55" s="8">
        <v>33019.61</v>
      </c>
      <c r="H55" s="8">
        <v>33019.61</v>
      </c>
      <c r="I55" s="8">
        <v>33019.61</v>
      </c>
      <c r="J55" s="8">
        <v>33019.61</v>
      </c>
      <c r="K55" s="8">
        <v>33019.61</v>
      </c>
      <c r="L55" s="8">
        <v>33019.61</v>
      </c>
      <c r="M55" s="8">
        <v>33019.61</v>
      </c>
      <c r="N55" s="8">
        <v>33019.61</v>
      </c>
      <c r="O55" s="8">
        <v>33019.61</v>
      </c>
      <c r="P55" s="8">
        <v>33019.61</v>
      </c>
      <c r="Q55" s="213">
        <f t="shared" si="7"/>
        <v>396235.3199999999</v>
      </c>
      <c r="R55" s="214"/>
    </row>
    <row r="56" spans="1:18" ht="15.75">
      <c r="A56" s="215" t="s">
        <v>182</v>
      </c>
      <c r="B56" s="216"/>
      <c r="C56" s="216"/>
      <c r="D56" s="217"/>
      <c r="E56" s="8">
        <v>4901.96</v>
      </c>
      <c r="F56" s="8">
        <v>4901.96</v>
      </c>
      <c r="G56" s="8">
        <v>4901.96</v>
      </c>
      <c r="H56" s="8">
        <v>4901.96</v>
      </c>
      <c r="I56" s="8">
        <v>4901.96</v>
      </c>
      <c r="J56" s="8">
        <v>4901.96</v>
      </c>
      <c r="K56" s="8">
        <v>4901.96</v>
      </c>
      <c r="L56" s="8">
        <v>4901.96</v>
      </c>
      <c r="M56" s="8">
        <v>4901.96</v>
      </c>
      <c r="N56" s="8">
        <v>4901.96</v>
      </c>
      <c r="O56" s="8">
        <v>4901.96</v>
      </c>
      <c r="P56" s="8">
        <v>4901.96</v>
      </c>
      <c r="Q56" s="213">
        <f t="shared" si="7"/>
        <v>58823.52</v>
      </c>
      <c r="R56" s="214"/>
    </row>
    <row r="57" spans="1:18" ht="16.5" thickBot="1">
      <c r="A57" s="246" t="s">
        <v>175</v>
      </c>
      <c r="B57" s="247"/>
      <c r="C57" s="247"/>
      <c r="D57" s="248"/>
      <c r="E57" s="9">
        <f aca="true" t="shared" si="8" ref="E57:P57">E56+E55+E54+E53+E52+E51+E50+E49+E48</f>
        <v>2637010.9799999995</v>
      </c>
      <c r="F57" s="9">
        <f t="shared" si="8"/>
        <v>2637010.9799999995</v>
      </c>
      <c r="G57" s="9">
        <f t="shared" si="8"/>
        <v>2637010.9799999995</v>
      </c>
      <c r="H57" s="9">
        <f t="shared" si="8"/>
        <v>2637010.9799999995</v>
      </c>
      <c r="I57" s="9">
        <f t="shared" si="8"/>
        <v>2637010.9799999995</v>
      </c>
      <c r="J57" s="9">
        <f t="shared" si="8"/>
        <v>2637010.9799999995</v>
      </c>
      <c r="K57" s="9">
        <f t="shared" si="8"/>
        <v>2637010.9799999995</v>
      </c>
      <c r="L57" s="9">
        <f t="shared" si="8"/>
        <v>2637010.9799999995</v>
      </c>
      <c r="M57" s="9">
        <f t="shared" si="8"/>
        <v>2637010.9799999995</v>
      </c>
      <c r="N57" s="9">
        <f t="shared" si="8"/>
        <v>2637010.9799999995</v>
      </c>
      <c r="O57" s="9">
        <f t="shared" si="8"/>
        <v>2637010.9799999995</v>
      </c>
      <c r="P57" s="9">
        <f t="shared" si="8"/>
        <v>2637010.9799999995</v>
      </c>
      <c r="Q57" s="244">
        <f>P57+O57+N57+M57+L57+K57+J57+I57+H57+G57+F57+E57</f>
        <v>31644131.76</v>
      </c>
      <c r="R57" s="245"/>
    </row>
    <row r="58" spans="1:18" ht="16.5" thickBot="1">
      <c r="A58" s="218" t="s">
        <v>190</v>
      </c>
      <c r="B58" s="219"/>
      <c r="C58" s="219"/>
      <c r="D58" s="219"/>
      <c r="E58" s="219"/>
      <c r="F58" s="219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20"/>
    </row>
    <row r="59" spans="1:18" ht="15.75">
      <c r="A59" s="230" t="s">
        <v>174</v>
      </c>
      <c r="B59" s="230"/>
      <c r="C59" s="230"/>
      <c r="D59" s="230"/>
      <c r="E59" s="221" t="s">
        <v>26</v>
      </c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3"/>
      <c r="Q59" s="232" t="s">
        <v>175</v>
      </c>
      <c r="R59" s="232"/>
    </row>
    <row r="60" spans="1:18" ht="15.75">
      <c r="A60" s="231"/>
      <c r="B60" s="231"/>
      <c r="C60" s="231"/>
      <c r="D60" s="231"/>
      <c r="E60" s="21">
        <v>46266</v>
      </c>
      <c r="F60" s="21">
        <v>46296</v>
      </c>
      <c r="G60" s="21">
        <v>46327</v>
      </c>
      <c r="H60" s="21">
        <v>46357</v>
      </c>
      <c r="I60" s="21">
        <v>46388</v>
      </c>
      <c r="J60" s="21">
        <v>46419</v>
      </c>
      <c r="K60" s="21">
        <v>46447</v>
      </c>
      <c r="L60" s="21">
        <v>46478</v>
      </c>
      <c r="M60" s="21">
        <v>46508</v>
      </c>
      <c r="N60" s="21">
        <v>46539</v>
      </c>
      <c r="O60" s="21">
        <v>46569</v>
      </c>
      <c r="P60" s="21">
        <v>46600</v>
      </c>
      <c r="Q60" s="233"/>
      <c r="R60" s="233"/>
    </row>
    <row r="61" spans="1:18" ht="15.75">
      <c r="A61" s="234" t="s">
        <v>176</v>
      </c>
      <c r="B61" s="234"/>
      <c r="C61" s="234"/>
      <c r="D61" s="234"/>
      <c r="E61" s="22">
        <v>56306.31</v>
      </c>
      <c r="F61" s="22">
        <v>56306.31</v>
      </c>
      <c r="G61" s="22">
        <v>56306.31</v>
      </c>
      <c r="H61" s="22">
        <v>56306.31</v>
      </c>
      <c r="I61" s="22">
        <v>56306.31</v>
      </c>
      <c r="J61" s="22">
        <v>56306.31</v>
      </c>
      <c r="K61" s="22">
        <v>56306.31</v>
      </c>
      <c r="L61" s="22">
        <v>56306.31</v>
      </c>
      <c r="M61" s="22">
        <v>56306.31</v>
      </c>
      <c r="N61" s="22">
        <v>56306.31</v>
      </c>
      <c r="O61" s="22">
        <v>56306.31</v>
      </c>
      <c r="P61" s="22">
        <v>56306.31</v>
      </c>
      <c r="Q61" s="114">
        <f aca="true" t="shared" si="9" ref="Q61:Q70">P61+O61+N61+M61+L61+K61+J61+I61+H61+G61+F61+E61</f>
        <v>675675.72</v>
      </c>
      <c r="R61" s="114"/>
    </row>
    <row r="62" spans="1:18" ht="15.75">
      <c r="A62" s="234" t="s">
        <v>178</v>
      </c>
      <c r="B62" s="234"/>
      <c r="C62" s="234"/>
      <c r="D62" s="234"/>
      <c r="E62" s="8">
        <v>858627.96</v>
      </c>
      <c r="F62" s="8">
        <v>858627.96</v>
      </c>
      <c r="G62" s="8">
        <v>858627.96</v>
      </c>
      <c r="H62" s="8">
        <v>858627.96</v>
      </c>
      <c r="I62" s="8">
        <v>858627.96</v>
      </c>
      <c r="J62" s="8">
        <v>858627.96</v>
      </c>
      <c r="K62" s="8">
        <v>858627.96</v>
      </c>
      <c r="L62" s="8">
        <v>858627.96</v>
      </c>
      <c r="M62" s="8">
        <v>858627.96</v>
      </c>
      <c r="N62" s="8">
        <v>858627.96</v>
      </c>
      <c r="O62" s="8">
        <v>858627.96</v>
      </c>
      <c r="P62" s="8">
        <v>858627.96</v>
      </c>
      <c r="Q62" s="114">
        <f t="shared" si="9"/>
        <v>10303535.52</v>
      </c>
      <c r="R62" s="114"/>
    </row>
    <row r="63" spans="1:18" ht="15.75">
      <c r="A63" s="215" t="s">
        <v>179</v>
      </c>
      <c r="B63" s="216"/>
      <c r="C63" s="216"/>
      <c r="D63" s="217"/>
      <c r="E63" s="8">
        <v>83185.99</v>
      </c>
      <c r="F63" s="8">
        <v>83185.99</v>
      </c>
      <c r="G63" s="8">
        <v>83185.99</v>
      </c>
      <c r="H63" s="8">
        <v>83185.99</v>
      </c>
      <c r="I63" s="8">
        <v>83185.99</v>
      </c>
      <c r="J63" s="8">
        <v>83185.99</v>
      </c>
      <c r="K63" s="8">
        <v>83185.99</v>
      </c>
      <c r="L63" s="8">
        <v>83185.99</v>
      </c>
      <c r="M63" s="8">
        <v>83185.99</v>
      </c>
      <c r="N63" s="8">
        <v>83185.99</v>
      </c>
      <c r="O63" s="8">
        <v>83185.99</v>
      </c>
      <c r="P63" s="8">
        <v>83185.99</v>
      </c>
      <c r="Q63" s="213">
        <f t="shared" si="9"/>
        <v>998231.88</v>
      </c>
      <c r="R63" s="214"/>
    </row>
    <row r="64" spans="1:18" ht="15.75">
      <c r="A64" s="215" t="s">
        <v>180</v>
      </c>
      <c r="B64" s="216"/>
      <c r="C64" s="216"/>
      <c r="D64" s="217"/>
      <c r="E64" s="8">
        <v>189803.92</v>
      </c>
      <c r="F64" s="8">
        <v>189803.92</v>
      </c>
      <c r="G64" s="8">
        <v>189803.92</v>
      </c>
      <c r="H64" s="8">
        <v>189803.92</v>
      </c>
      <c r="I64" s="8">
        <v>189803.92</v>
      </c>
      <c r="J64" s="8">
        <v>189803.92</v>
      </c>
      <c r="K64" s="8">
        <v>189803.92</v>
      </c>
      <c r="L64" s="8">
        <v>189803.92</v>
      </c>
      <c r="M64" s="8">
        <v>189803.92</v>
      </c>
      <c r="N64" s="8">
        <v>189803.92</v>
      </c>
      <c r="O64" s="8">
        <v>189803.92</v>
      </c>
      <c r="P64" s="8">
        <v>189803.92</v>
      </c>
      <c r="Q64" s="213">
        <f t="shared" si="9"/>
        <v>2277647.0399999996</v>
      </c>
      <c r="R64" s="214"/>
    </row>
    <row r="65" spans="1:18" ht="15.75">
      <c r="A65" s="215" t="s">
        <v>181</v>
      </c>
      <c r="B65" s="216"/>
      <c r="C65" s="216"/>
      <c r="D65" s="217"/>
      <c r="E65" s="8">
        <v>66039.22</v>
      </c>
      <c r="F65" s="8">
        <v>66039.22</v>
      </c>
      <c r="G65" s="8">
        <v>66039.22</v>
      </c>
      <c r="H65" s="8">
        <v>66039.22</v>
      </c>
      <c r="I65" s="8">
        <v>66039.22</v>
      </c>
      <c r="J65" s="8">
        <v>66039.22</v>
      </c>
      <c r="K65" s="8">
        <v>66039.22</v>
      </c>
      <c r="L65" s="8">
        <v>66039.22</v>
      </c>
      <c r="M65" s="8">
        <v>66039.22</v>
      </c>
      <c r="N65" s="8">
        <v>66039.22</v>
      </c>
      <c r="O65" s="8">
        <v>66039.22</v>
      </c>
      <c r="P65" s="8">
        <v>66039.22</v>
      </c>
      <c r="Q65" s="213">
        <f t="shared" si="9"/>
        <v>792470.6399999998</v>
      </c>
      <c r="R65" s="214"/>
    </row>
    <row r="66" spans="1:18" ht="15.75">
      <c r="A66" s="215" t="s">
        <v>184</v>
      </c>
      <c r="B66" s="216"/>
      <c r="C66" s="216"/>
      <c r="D66" s="217"/>
      <c r="E66" s="8">
        <v>1196383.39</v>
      </c>
      <c r="F66" s="8">
        <v>1196383.39</v>
      </c>
      <c r="G66" s="8">
        <v>1196383.39</v>
      </c>
      <c r="H66" s="8">
        <v>1196383.39</v>
      </c>
      <c r="I66" s="8">
        <v>1196383.39</v>
      </c>
      <c r="J66" s="8">
        <v>1196383.39</v>
      </c>
      <c r="K66" s="8">
        <v>1196383.39</v>
      </c>
      <c r="L66" s="8">
        <v>1196383.39</v>
      </c>
      <c r="M66" s="8">
        <v>1196383.39</v>
      </c>
      <c r="N66" s="8">
        <v>1196383.39</v>
      </c>
      <c r="O66" s="8">
        <v>1196383.39</v>
      </c>
      <c r="P66" s="8">
        <v>1196383.39</v>
      </c>
      <c r="Q66" s="213">
        <f t="shared" si="9"/>
        <v>14356600.680000002</v>
      </c>
      <c r="R66" s="214"/>
    </row>
    <row r="67" spans="1:18" ht="15.75">
      <c r="A67" s="215" t="s">
        <v>185</v>
      </c>
      <c r="B67" s="216"/>
      <c r="C67" s="216"/>
      <c r="D67" s="217"/>
      <c r="E67" s="8">
        <v>110146.97</v>
      </c>
      <c r="F67" s="8">
        <v>110146.97</v>
      </c>
      <c r="G67" s="8">
        <v>110146.97</v>
      </c>
      <c r="H67" s="8">
        <v>110146.97</v>
      </c>
      <c r="I67" s="8">
        <v>110146.97</v>
      </c>
      <c r="J67" s="8">
        <v>110146.97</v>
      </c>
      <c r="K67" s="8">
        <v>110146.97</v>
      </c>
      <c r="L67" s="8">
        <v>110146.97</v>
      </c>
      <c r="M67" s="8">
        <v>110146.97</v>
      </c>
      <c r="N67" s="8">
        <v>110146.97</v>
      </c>
      <c r="O67" s="8">
        <v>110146.97</v>
      </c>
      <c r="P67" s="8">
        <v>110146.97</v>
      </c>
      <c r="Q67" s="213">
        <f t="shared" si="9"/>
        <v>1321763.64</v>
      </c>
      <c r="R67" s="214"/>
    </row>
    <row r="68" spans="1:18" ht="15.75">
      <c r="A68" s="215" t="s">
        <v>186</v>
      </c>
      <c r="B68" s="216"/>
      <c r="C68" s="216"/>
      <c r="D68" s="217"/>
      <c r="E68" s="8">
        <v>94901.96</v>
      </c>
      <c r="F68" s="8">
        <v>94901.96</v>
      </c>
      <c r="G68" s="8">
        <v>94901.96</v>
      </c>
      <c r="H68" s="8">
        <v>94901.96</v>
      </c>
      <c r="I68" s="8">
        <v>94901.96</v>
      </c>
      <c r="J68" s="8">
        <v>94901.96</v>
      </c>
      <c r="K68" s="8">
        <v>94901.96</v>
      </c>
      <c r="L68" s="8">
        <v>94901.96</v>
      </c>
      <c r="M68" s="8">
        <v>94901.96</v>
      </c>
      <c r="N68" s="8">
        <v>94901.96</v>
      </c>
      <c r="O68" s="8">
        <v>94901.96</v>
      </c>
      <c r="P68" s="8">
        <v>94901.96</v>
      </c>
      <c r="Q68" s="213">
        <f t="shared" si="9"/>
        <v>1138823.5199999998</v>
      </c>
      <c r="R68" s="214"/>
    </row>
    <row r="69" spans="1:18" ht="15.75">
      <c r="A69" s="215" t="s">
        <v>187</v>
      </c>
      <c r="B69" s="216"/>
      <c r="C69" s="216"/>
      <c r="D69" s="217"/>
      <c r="E69" s="8">
        <v>33019.61</v>
      </c>
      <c r="F69" s="8">
        <v>33019.61</v>
      </c>
      <c r="G69" s="8">
        <v>33019.61</v>
      </c>
      <c r="H69" s="8">
        <v>33019.61</v>
      </c>
      <c r="I69" s="8">
        <v>33019.61</v>
      </c>
      <c r="J69" s="8">
        <v>33019.61</v>
      </c>
      <c r="K69" s="8">
        <v>33019.61</v>
      </c>
      <c r="L69" s="8">
        <v>33019.61</v>
      </c>
      <c r="M69" s="8">
        <v>33019.61</v>
      </c>
      <c r="N69" s="8">
        <v>33019.61</v>
      </c>
      <c r="O69" s="8">
        <v>33019.61</v>
      </c>
      <c r="P69" s="8">
        <v>33019.61</v>
      </c>
      <c r="Q69" s="213">
        <f t="shared" si="9"/>
        <v>396235.3199999999</v>
      </c>
      <c r="R69" s="214"/>
    </row>
    <row r="70" spans="1:18" ht="15.75">
      <c r="A70" s="215" t="s">
        <v>182</v>
      </c>
      <c r="B70" s="216"/>
      <c r="C70" s="216"/>
      <c r="D70" s="217"/>
      <c r="E70" s="8">
        <v>4901.96</v>
      </c>
      <c r="F70" s="8">
        <v>4901.96</v>
      </c>
      <c r="G70" s="8">
        <v>4901.96</v>
      </c>
      <c r="H70" s="8">
        <v>4901.96</v>
      </c>
      <c r="I70" s="8">
        <v>4901.96</v>
      </c>
      <c r="J70" s="8">
        <v>4901.96</v>
      </c>
      <c r="K70" s="8">
        <v>4901.96</v>
      </c>
      <c r="L70" s="8">
        <v>4901.96</v>
      </c>
      <c r="M70" s="8">
        <v>4901.96</v>
      </c>
      <c r="N70" s="8">
        <v>4901.96</v>
      </c>
      <c r="O70" s="8">
        <v>4901.96</v>
      </c>
      <c r="P70" s="8">
        <v>4901.96</v>
      </c>
      <c r="Q70" s="213">
        <f t="shared" si="9"/>
        <v>58823.52</v>
      </c>
      <c r="R70" s="214"/>
    </row>
    <row r="71" spans="1:18" ht="16.5" thickBot="1">
      <c r="A71" s="163" t="s">
        <v>175</v>
      </c>
      <c r="B71" s="164"/>
      <c r="C71" s="164"/>
      <c r="D71" s="165"/>
      <c r="E71" s="9">
        <f aca="true" t="shared" si="10" ref="E71:P71">E70+E69+E68+E67+E66+E65+E64+E63+E62+E61</f>
        <v>2693317.2899999996</v>
      </c>
      <c r="F71" s="9">
        <f t="shared" si="10"/>
        <v>2693317.2899999996</v>
      </c>
      <c r="G71" s="9">
        <f t="shared" si="10"/>
        <v>2693317.2899999996</v>
      </c>
      <c r="H71" s="9">
        <f t="shared" si="10"/>
        <v>2693317.2899999996</v>
      </c>
      <c r="I71" s="9">
        <f t="shared" si="10"/>
        <v>2693317.2899999996</v>
      </c>
      <c r="J71" s="9">
        <f t="shared" si="10"/>
        <v>2693317.2899999996</v>
      </c>
      <c r="K71" s="9">
        <f t="shared" si="10"/>
        <v>2693317.2899999996</v>
      </c>
      <c r="L71" s="9">
        <f t="shared" si="10"/>
        <v>2693317.2899999996</v>
      </c>
      <c r="M71" s="9">
        <f t="shared" si="10"/>
        <v>2693317.2899999996</v>
      </c>
      <c r="N71" s="9">
        <f t="shared" si="10"/>
        <v>2693317.2899999996</v>
      </c>
      <c r="O71" s="9">
        <f t="shared" si="10"/>
        <v>2693317.2899999996</v>
      </c>
      <c r="P71" s="9">
        <f t="shared" si="10"/>
        <v>2693317.2899999996</v>
      </c>
      <c r="Q71" s="213">
        <f>P71+O71+N71+M71+L71+K71+J71+I71+H71+G71+F71+E71</f>
        <v>32319807.479999993</v>
      </c>
      <c r="R71" s="214"/>
    </row>
    <row r="72" spans="1:18" ht="16.5" thickBot="1">
      <c r="A72" s="218" t="s">
        <v>191</v>
      </c>
      <c r="B72" s="219"/>
      <c r="C72" s="219"/>
      <c r="D72" s="219"/>
      <c r="E72" s="219"/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20"/>
    </row>
    <row r="73" spans="1:18" ht="15.75">
      <c r="A73" s="230" t="s">
        <v>174</v>
      </c>
      <c r="B73" s="230"/>
      <c r="C73" s="230"/>
      <c r="D73" s="230"/>
      <c r="E73" s="221" t="s">
        <v>26</v>
      </c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3"/>
      <c r="Q73" s="232" t="s">
        <v>175</v>
      </c>
      <c r="R73" s="232"/>
    </row>
    <row r="74" spans="1:18" ht="15.75">
      <c r="A74" s="231"/>
      <c r="B74" s="231"/>
      <c r="C74" s="231"/>
      <c r="D74" s="231"/>
      <c r="E74" s="21">
        <v>46631</v>
      </c>
      <c r="F74" s="21">
        <v>46661</v>
      </c>
      <c r="G74" s="21">
        <v>46692</v>
      </c>
      <c r="H74" s="21">
        <v>46722</v>
      </c>
      <c r="I74" s="21">
        <v>46753</v>
      </c>
      <c r="J74" s="21">
        <v>46784</v>
      </c>
      <c r="K74" s="21">
        <v>46813</v>
      </c>
      <c r="L74" s="21">
        <v>46844</v>
      </c>
      <c r="M74" s="21">
        <v>46874</v>
      </c>
      <c r="N74" s="21">
        <v>46905</v>
      </c>
      <c r="O74" s="21">
        <v>46935</v>
      </c>
      <c r="P74" s="21">
        <v>46966</v>
      </c>
      <c r="Q74" s="233"/>
      <c r="R74" s="233"/>
    </row>
    <row r="75" spans="1:18" ht="15.75">
      <c r="A75" s="234" t="s">
        <v>176</v>
      </c>
      <c r="B75" s="234"/>
      <c r="C75" s="234"/>
      <c r="D75" s="234"/>
      <c r="E75" s="22">
        <v>56306.31</v>
      </c>
      <c r="F75" s="22">
        <v>56306.31</v>
      </c>
      <c r="G75" s="22">
        <v>56306.31</v>
      </c>
      <c r="H75" s="22">
        <v>56306.31</v>
      </c>
      <c r="I75" s="22">
        <v>56306.31</v>
      </c>
      <c r="J75" s="22">
        <v>56306.31</v>
      </c>
      <c r="K75" s="22">
        <v>56306.31</v>
      </c>
      <c r="L75" s="22">
        <v>56306.31</v>
      </c>
      <c r="M75" s="22">
        <v>56306.31</v>
      </c>
      <c r="N75" s="22">
        <v>56306.31</v>
      </c>
      <c r="O75" s="22">
        <v>56306.31</v>
      </c>
      <c r="P75" s="22">
        <v>56306.31</v>
      </c>
      <c r="Q75" s="114">
        <f aca="true" t="shared" si="11" ref="Q75:Q84">P75+O75+N75+M75+L75+K75+J75+I75+H75+G75+F75+E75</f>
        <v>675675.72</v>
      </c>
      <c r="R75" s="114"/>
    </row>
    <row r="76" spans="1:18" ht="15.75">
      <c r="A76" s="234" t="s">
        <v>178</v>
      </c>
      <c r="B76" s="234"/>
      <c r="C76" s="234"/>
      <c r="D76" s="234"/>
      <c r="E76" s="8">
        <v>858627.96</v>
      </c>
      <c r="F76" s="8">
        <v>858627.96</v>
      </c>
      <c r="G76" s="8">
        <v>858627.96</v>
      </c>
      <c r="H76" s="8">
        <v>858627.96</v>
      </c>
      <c r="I76" s="8">
        <v>858627.96</v>
      </c>
      <c r="J76" s="8">
        <v>858627.96</v>
      </c>
      <c r="K76" s="8">
        <v>858627.96</v>
      </c>
      <c r="L76" s="8">
        <v>858627.96</v>
      </c>
      <c r="M76" s="8">
        <v>858627.96</v>
      </c>
      <c r="N76" s="8">
        <v>858627.96</v>
      </c>
      <c r="O76" s="8">
        <v>858627.96</v>
      </c>
      <c r="P76" s="8">
        <v>858627.96</v>
      </c>
      <c r="Q76" s="114">
        <f t="shared" si="11"/>
        <v>10303535.52</v>
      </c>
      <c r="R76" s="114"/>
    </row>
    <row r="77" spans="1:18" ht="15.75">
      <c r="A77" s="215" t="s">
        <v>179</v>
      </c>
      <c r="B77" s="216"/>
      <c r="C77" s="216"/>
      <c r="D77" s="217"/>
      <c r="E77" s="8">
        <v>83185.99</v>
      </c>
      <c r="F77" s="8">
        <v>83185.99</v>
      </c>
      <c r="G77" s="8">
        <v>83185.99</v>
      </c>
      <c r="H77" s="8">
        <v>83185.99</v>
      </c>
      <c r="I77" s="8">
        <v>83185.99</v>
      </c>
      <c r="J77" s="8">
        <v>83185.99</v>
      </c>
      <c r="K77" s="8">
        <v>83185.99</v>
      </c>
      <c r="L77" s="8">
        <v>83185.99</v>
      </c>
      <c r="M77" s="8">
        <v>83185.99</v>
      </c>
      <c r="N77" s="8">
        <v>83185.99</v>
      </c>
      <c r="O77" s="8">
        <v>83185.99</v>
      </c>
      <c r="P77" s="8">
        <v>83185.99</v>
      </c>
      <c r="Q77" s="213">
        <f t="shared" si="11"/>
        <v>998231.88</v>
      </c>
      <c r="R77" s="214"/>
    </row>
    <row r="78" spans="1:18" ht="15.75">
      <c r="A78" s="215" t="s">
        <v>180</v>
      </c>
      <c r="B78" s="216"/>
      <c r="C78" s="216"/>
      <c r="D78" s="217"/>
      <c r="E78" s="8">
        <v>189803.92</v>
      </c>
      <c r="F78" s="8">
        <v>189803.92</v>
      </c>
      <c r="G78" s="8">
        <v>189803.92</v>
      </c>
      <c r="H78" s="8">
        <v>189803.92</v>
      </c>
      <c r="I78" s="8">
        <v>189803.92</v>
      </c>
      <c r="J78" s="8">
        <v>189803.92</v>
      </c>
      <c r="K78" s="8">
        <v>189803.92</v>
      </c>
      <c r="L78" s="8">
        <v>189803.92</v>
      </c>
      <c r="M78" s="8">
        <v>189803.92</v>
      </c>
      <c r="N78" s="8">
        <v>189803.92</v>
      </c>
      <c r="O78" s="8">
        <v>189803.92</v>
      </c>
      <c r="P78" s="8">
        <v>189803.92</v>
      </c>
      <c r="Q78" s="213">
        <f t="shared" si="11"/>
        <v>2277647.0399999996</v>
      </c>
      <c r="R78" s="214"/>
    </row>
    <row r="79" spans="1:18" ht="15.75">
      <c r="A79" s="215" t="s">
        <v>181</v>
      </c>
      <c r="B79" s="216"/>
      <c r="C79" s="216"/>
      <c r="D79" s="217"/>
      <c r="E79" s="8">
        <v>66039.22</v>
      </c>
      <c r="F79" s="8">
        <v>66039.22</v>
      </c>
      <c r="G79" s="8">
        <v>66039.22</v>
      </c>
      <c r="H79" s="8">
        <v>66039.22</v>
      </c>
      <c r="I79" s="8">
        <v>66039.22</v>
      </c>
      <c r="J79" s="8">
        <v>66039.22</v>
      </c>
      <c r="K79" s="8">
        <v>66039.22</v>
      </c>
      <c r="L79" s="8">
        <v>66039.22</v>
      </c>
      <c r="M79" s="8">
        <v>66039.22</v>
      </c>
      <c r="N79" s="8">
        <v>66039.22</v>
      </c>
      <c r="O79" s="8">
        <v>66039.22</v>
      </c>
      <c r="P79" s="8">
        <v>66039.22</v>
      </c>
      <c r="Q79" s="213">
        <f t="shared" si="11"/>
        <v>792470.6399999998</v>
      </c>
      <c r="R79" s="214"/>
    </row>
    <row r="80" spans="1:18" ht="15.75">
      <c r="A80" s="215" t="s">
        <v>184</v>
      </c>
      <c r="B80" s="216"/>
      <c r="C80" s="216"/>
      <c r="D80" s="217"/>
      <c r="E80" s="8">
        <v>1196383.39</v>
      </c>
      <c r="F80" s="8">
        <v>1196383.39</v>
      </c>
      <c r="G80" s="8">
        <v>1196383.39</v>
      </c>
      <c r="H80" s="8">
        <v>1196383.39</v>
      </c>
      <c r="I80" s="8">
        <v>1196383.39</v>
      </c>
      <c r="J80" s="8">
        <v>1196383.39</v>
      </c>
      <c r="K80" s="8">
        <v>1196383.39</v>
      </c>
      <c r="L80" s="8">
        <v>1196383.39</v>
      </c>
      <c r="M80" s="8">
        <v>1196383.39</v>
      </c>
      <c r="N80" s="8">
        <v>1196383.39</v>
      </c>
      <c r="O80" s="8">
        <v>1196383.39</v>
      </c>
      <c r="P80" s="8">
        <v>1196383.39</v>
      </c>
      <c r="Q80" s="213">
        <f t="shared" si="11"/>
        <v>14356600.680000002</v>
      </c>
      <c r="R80" s="214"/>
    </row>
    <row r="81" spans="1:18" ht="15.75">
      <c r="A81" s="215" t="s">
        <v>185</v>
      </c>
      <c r="B81" s="216"/>
      <c r="C81" s="216"/>
      <c r="D81" s="217"/>
      <c r="E81" s="8">
        <v>110146.97</v>
      </c>
      <c r="F81" s="8">
        <v>110146.97</v>
      </c>
      <c r="G81" s="8">
        <v>110146.97</v>
      </c>
      <c r="H81" s="8">
        <v>110146.97</v>
      </c>
      <c r="I81" s="8">
        <v>110146.97</v>
      </c>
      <c r="J81" s="8">
        <v>110146.97</v>
      </c>
      <c r="K81" s="8">
        <v>110146.97</v>
      </c>
      <c r="L81" s="8">
        <v>110146.97</v>
      </c>
      <c r="M81" s="8">
        <v>110146.97</v>
      </c>
      <c r="N81" s="8">
        <v>110146.97</v>
      </c>
      <c r="O81" s="8">
        <v>110146.97</v>
      </c>
      <c r="P81" s="8">
        <v>110146.97</v>
      </c>
      <c r="Q81" s="213">
        <f t="shared" si="11"/>
        <v>1321763.64</v>
      </c>
      <c r="R81" s="214"/>
    </row>
    <row r="82" spans="1:18" ht="15.75">
      <c r="A82" s="215" t="s">
        <v>186</v>
      </c>
      <c r="B82" s="216"/>
      <c r="C82" s="216"/>
      <c r="D82" s="217"/>
      <c r="E82" s="8">
        <v>94901.96</v>
      </c>
      <c r="F82" s="8">
        <v>94901.96</v>
      </c>
      <c r="G82" s="8">
        <v>94901.96</v>
      </c>
      <c r="H82" s="8">
        <v>94901.96</v>
      </c>
      <c r="I82" s="8">
        <v>94901.96</v>
      </c>
      <c r="J82" s="8">
        <v>94901.96</v>
      </c>
      <c r="K82" s="8">
        <v>94901.96</v>
      </c>
      <c r="L82" s="8">
        <v>94901.96</v>
      </c>
      <c r="M82" s="8">
        <v>94901.96</v>
      </c>
      <c r="N82" s="8">
        <v>94901.96</v>
      </c>
      <c r="O82" s="8">
        <v>94901.96</v>
      </c>
      <c r="P82" s="8">
        <v>94901.96</v>
      </c>
      <c r="Q82" s="213">
        <f t="shared" si="11"/>
        <v>1138823.5199999998</v>
      </c>
      <c r="R82" s="214"/>
    </row>
    <row r="83" spans="1:18" ht="15.75">
      <c r="A83" s="215" t="s">
        <v>187</v>
      </c>
      <c r="B83" s="216"/>
      <c r="C83" s="216"/>
      <c r="D83" s="217"/>
      <c r="E83" s="8">
        <v>33019.61</v>
      </c>
      <c r="F83" s="8">
        <v>33019.61</v>
      </c>
      <c r="G83" s="8">
        <v>33019.61</v>
      </c>
      <c r="H83" s="8">
        <v>33019.61</v>
      </c>
      <c r="I83" s="8">
        <v>33019.61</v>
      </c>
      <c r="J83" s="8">
        <v>33019.61</v>
      </c>
      <c r="K83" s="8">
        <v>33019.61</v>
      </c>
      <c r="L83" s="8">
        <v>33019.61</v>
      </c>
      <c r="M83" s="8">
        <v>33019.61</v>
      </c>
      <c r="N83" s="8">
        <v>33019.61</v>
      </c>
      <c r="O83" s="8">
        <v>33019.61</v>
      </c>
      <c r="P83" s="8">
        <v>33019.61</v>
      </c>
      <c r="Q83" s="213">
        <f t="shared" si="11"/>
        <v>396235.3199999999</v>
      </c>
      <c r="R83" s="214"/>
    </row>
    <row r="84" spans="1:18" ht="15.75">
      <c r="A84" s="215" t="s">
        <v>182</v>
      </c>
      <c r="B84" s="216"/>
      <c r="C84" s="216"/>
      <c r="D84" s="217"/>
      <c r="E84" s="8">
        <v>4901.96</v>
      </c>
      <c r="F84" s="8">
        <v>4901.96</v>
      </c>
      <c r="G84" s="8">
        <v>4901.96</v>
      </c>
      <c r="H84" s="8">
        <v>4901.96</v>
      </c>
      <c r="I84" s="8">
        <v>4901.96</v>
      </c>
      <c r="J84" s="8">
        <v>4901.96</v>
      </c>
      <c r="K84" s="8">
        <v>4901.96</v>
      </c>
      <c r="L84" s="8">
        <v>4901.96</v>
      </c>
      <c r="M84" s="8">
        <v>4901.96</v>
      </c>
      <c r="N84" s="8">
        <v>4901.96</v>
      </c>
      <c r="O84" s="8">
        <v>4901.96</v>
      </c>
      <c r="P84" s="8">
        <v>4901.96</v>
      </c>
      <c r="Q84" s="213">
        <f t="shared" si="11"/>
        <v>58823.52</v>
      </c>
      <c r="R84" s="214"/>
    </row>
    <row r="85" spans="1:18" ht="16.5" thickBot="1">
      <c r="A85" s="163" t="s">
        <v>175</v>
      </c>
      <c r="B85" s="164"/>
      <c r="C85" s="164"/>
      <c r="D85" s="165"/>
      <c r="E85" s="9">
        <f aca="true" t="shared" si="12" ref="E85:P85">E84+E83+E82+E81+E80+E79+E78+E77+E76+E75</f>
        <v>2693317.2899999996</v>
      </c>
      <c r="F85" s="9">
        <f t="shared" si="12"/>
        <v>2693317.2899999996</v>
      </c>
      <c r="G85" s="9">
        <f t="shared" si="12"/>
        <v>2693317.2899999996</v>
      </c>
      <c r="H85" s="9">
        <f t="shared" si="12"/>
        <v>2693317.2899999996</v>
      </c>
      <c r="I85" s="9">
        <f t="shared" si="12"/>
        <v>2693317.2899999996</v>
      </c>
      <c r="J85" s="9">
        <f t="shared" si="12"/>
        <v>2693317.2899999996</v>
      </c>
      <c r="K85" s="9">
        <f t="shared" si="12"/>
        <v>2693317.2899999996</v>
      </c>
      <c r="L85" s="9">
        <f t="shared" si="12"/>
        <v>2693317.2899999996</v>
      </c>
      <c r="M85" s="9">
        <f t="shared" si="12"/>
        <v>2693317.2899999996</v>
      </c>
      <c r="N85" s="9">
        <f t="shared" si="12"/>
        <v>2693317.2899999996</v>
      </c>
      <c r="O85" s="9">
        <f t="shared" si="12"/>
        <v>2693317.2899999996</v>
      </c>
      <c r="P85" s="9">
        <f t="shared" si="12"/>
        <v>2693317.2899999996</v>
      </c>
      <c r="Q85" s="213">
        <f>P85+O85+N85+M85+L85+K85+J85+I85+H85+G85+F85+E85</f>
        <v>32319807.479999993</v>
      </c>
      <c r="R85" s="214"/>
    </row>
    <row r="86" spans="1:18" ht="16.5" thickBot="1">
      <c r="A86" s="218" t="s">
        <v>192</v>
      </c>
      <c r="B86" s="219"/>
      <c r="C86" s="219"/>
      <c r="D86" s="219"/>
      <c r="E86" s="219"/>
      <c r="F86" s="219"/>
      <c r="G86" s="219"/>
      <c r="H86" s="219"/>
      <c r="I86" s="219"/>
      <c r="J86" s="219"/>
      <c r="K86" s="219"/>
      <c r="L86" s="219"/>
      <c r="M86" s="219"/>
      <c r="N86" s="219"/>
      <c r="O86" s="219"/>
      <c r="P86" s="219"/>
      <c r="Q86" s="219"/>
      <c r="R86" s="220"/>
    </row>
    <row r="87" spans="1:18" ht="15.75">
      <c r="A87" s="230" t="s">
        <v>174</v>
      </c>
      <c r="B87" s="230"/>
      <c r="C87" s="230"/>
      <c r="D87" s="230"/>
      <c r="E87" s="221" t="s">
        <v>26</v>
      </c>
      <c r="F87" s="222"/>
      <c r="G87" s="222"/>
      <c r="H87" s="222"/>
      <c r="I87" s="222"/>
      <c r="J87" s="222"/>
      <c r="K87" s="222"/>
      <c r="L87" s="222"/>
      <c r="M87" s="222"/>
      <c r="N87" s="222"/>
      <c r="O87" s="222"/>
      <c r="P87" s="223"/>
      <c r="Q87" s="232" t="s">
        <v>175</v>
      </c>
      <c r="R87" s="232"/>
    </row>
    <row r="88" spans="1:18" ht="15.75">
      <c r="A88" s="231"/>
      <c r="B88" s="231"/>
      <c r="C88" s="231"/>
      <c r="D88" s="231"/>
      <c r="E88" s="21">
        <v>46997</v>
      </c>
      <c r="F88" s="21">
        <v>47027</v>
      </c>
      <c r="G88" s="21">
        <v>47058</v>
      </c>
      <c r="H88" s="21">
        <v>47088</v>
      </c>
      <c r="I88" s="21">
        <v>47119</v>
      </c>
      <c r="J88" s="21">
        <v>47150</v>
      </c>
      <c r="K88" s="21">
        <v>47178</v>
      </c>
      <c r="L88" s="21">
        <v>47209</v>
      </c>
      <c r="M88" s="21">
        <v>47239</v>
      </c>
      <c r="N88" s="21">
        <v>47270</v>
      </c>
      <c r="O88" s="21">
        <v>47300</v>
      </c>
      <c r="P88" s="21">
        <v>47331</v>
      </c>
      <c r="Q88" s="233"/>
      <c r="R88" s="233"/>
    </row>
    <row r="89" spans="1:18" ht="15.75">
      <c r="A89" s="234" t="s">
        <v>176</v>
      </c>
      <c r="B89" s="234"/>
      <c r="C89" s="234"/>
      <c r="D89" s="234"/>
      <c r="E89" s="22">
        <v>56306.31</v>
      </c>
      <c r="F89" s="22">
        <v>56306.31</v>
      </c>
      <c r="G89" s="22">
        <v>56306.31</v>
      </c>
      <c r="H89" s="22">
        <v>56306.31</v>
      </c>
      <c r="I89" s="22">
        <v>56306.31</v>
      </c>
      <c r="J89" s="22">
        <v>56306.31</v>
      </c>
      <c r="K89" s="22">
        <v>56306.31</v>
      </c>
      <c r="L89" s="22">
        <v>56306.31</v>
      </c>
      <c r="M89" s="22">
        <v>56306.31</v>
      </c>
      <c r="N89" s="22">
        <v>56306.31</v>
      </c>
      <c r="O89" s="22">
        <v>56306.31</v>
      </c>
      <c r="P89" s="22">
        <v>56306.31</v>
      </c>
      <c r="Q89" s="114">
        <f aca="true" t="shared" si="13" ref="Q89:Q98">P89+O89+N89+M89+L89+K89+J89+I89+H89+G89+F89+E89</f>
        <v>675675.72</v>
      </c>
      <c r="R89" s="114"/>
    </row>
    <row r="90" spans="1:18" ht="15.75">
      <c r="A90" s="234" t="s">
        <v>178</v>
      </c>
      <c r="B90" s="234"/>
      <c r="C90" s="234"/>
      <c r="D90" s="234"/>
      <c r="E90" s="8">
        <v>858627.96</v>
      </c>
      <c r="F90" s="8">
        <v>858627.96</v>
      </c>
      <c r="G90" s="8">
        <v>858627.96</v>
      </c>
      <c r="H90" s="8">
        <v>858627.96</v>
      </c>
      <c r="I90" s="8">
        <v>858627.96</v>
      </c>
      <c r="J90" s="8">
        <v>858627.96</v>
      </c>
      <c r="K90" s="8">
        <v>858627.96</v>
      </c>
      <c r="L90" s="8">
        <v>858627.96</v>
      </c>
      <c r="M90" s="8">
        <v>858627.96</v>
      </c>
      <c r="N90" s="8">
        <v>858627.96</v>
      </c>
      <c r="O90" s="8">
        <v>858627.96</v>
      </c>
      <c r="P90" s="8">
        <v>858627.96</v>
      </c>
      <c r="Q90" s="114">
        <f t="shared" si="13"/>
        <v>10303535.52</v>
      </c>
      <c r="R90" s="114"/>
    </row>
    <row r="91" spans="1:18" ht="15.75">
      <c r="A91" s="215" t="s">
        <v>179</v>
      </c>
      <c r="B91" s="216"/>
      <c r="C91" s="216"/>
      <c r="D91" s="217"/>
      <c r="E91" s="8">
        <v>83185.99</v>
      </c>
      <c r="F91" s="8">
        <v>83185.99</v>
      </c>
      <c r="G91" s="8">
        <v>83185.99</v>
      </c>
      <c r="H91" s="8">
        <v>83185.99</v>
      </c>
      <c r="I91" s="8">
        <v>83185.99</v>
      </c>
      <c r="J91" s="8">
        <v>83185.99</v>
      </c>
      <c r="K91" s="8">
        <v>83185.99</v>
      </c>
      <c r="L91" s="8">
        <v>83185.99</v>
      </c>
      <c r="M91" s="8">
        <v>83185.99</v>
      </c>
      <c r="N91" s="8">
        <v>83185.99</v>
      </c>
      <c r="O91" s="8">
        <v>83185.99</v>
      </c>
      <c r="P91" s="8">
        <v>83185.99</v>
      </c>
      <c r="Q91" s="213">
        <f t="shared" si="13"/>
        <v>998231.88</v>
      </c>
      <c r="R91" s="214"/>
    </row>
    <row r="92" spans="1:18" ht="15.75">
      <c r="A92" s="215" t="s">
        <v>180</v>
      </c>
      <c r="B92" s="216"/>
      <c r="C92" s="216"/>
      <c r="D92" s="217"/>
      <c r="E92" s="8">
        <v>189803.92</v>
      </c>
      <c r="F92" s="8">
        <v>189803.92</v>
      </c>
      <c r="G92" s="8">
        <v>189803.92</v>
      </c>
      <c r="H92" s="8">
        <v>189803.92</v>
      </c>
      <c r="I92" s="8">
        <v>189803.92</v>
      </c>
      <c r="J92" s="8">
        <v>189803.92</v>
      </c>
      <c r="K92" s="8">
        <v>189803.92</v>
      </c>
      <c r="L92" s="8">
        <v>189803.92</v>
      </c>
      <c r="M92" s="8">
        <v>189803.92</v>
      </c>
      <c r="N92" s="8">
        <v>189803.92</v>
      </c>
      <c r="O92" s="8">
        <v>189803.92</v>
      </c>
      <c r="P92" s="8">
        <v>189803.92</v>
      </c>
      <c r="Q92" s="213">
        <f t="shared" si="13"/>
        <v>2277647.0399999996</v>
      </c>
      <c r="R92" s="214"/>
    </row>
    <row r="93" spans="1:18" ht="15.75">
      <c r="A93" s="215" t="s">
        <v>181</v>
      </c>
      <c r="B93" s="216"/>
      <c r="C93" s="216"/>
      <c r="D93" s="217"/>
      <c r="E93" s="8">
        <v>66039.22</v>
      </c>
      <c r="F93" s="8">
        <v>66039.22</v>
      </c>
      <c r="G93" s="8">
        <v>66039.22</v>
      </c>
      <c r="H93" s="8">
        <v>66039.22</v>
      </c>
      <c r="I93" s="8">
        <v>66039.22</v>
      </c>
      <c r="J93" s="8">
        <v>66039.22</v>
      </c>
      <c r="K93" s="8">
        <v>66039.22</v>
      </c>
      <c r="L93" s="8">
        <v>66039.22</v>
      </c>
      <c r="M93" s="8">
        <v>66039.22</v>
      </c>
      <c r="N93" s="8">
        <v>66039.22</v>
      </c>
      <c r="O93" s="8">
        <v>66039.22</v>
      </c>
      <c r="P93" s="8">
        <v>66039.22</v>
      </c>
      <c r="Q93" s="213">
        <f t="shared" si="13"/>
        <v>792470.6399999998</v>
      </c>
      <c r="R93" s="214"/>
    </row>
    <row r="94" spans="1:18" ht="15.75">
      <c r="A94" s="215" t="s">
        <v>184</v>
      </c>
      <c r="B94" s="216"/>
      <c r="C94" s="216"/>
      <c r="D94" s="217"/>
      <c r="E94" s="8">
        <v>1196383.39</v>
      </c>
      <c r="F94" s="8">
        <v>1196383.39</v>
      </c>
      <c r="G94" s="8">
        <v>1196383.39</v>
      </c>
      <c r="H94" s="8">
        <v>1196383.39</v>
      </c>
      <c r="I94" s="8">
        <v>1196383.39</v>
      </c>
      <c r="J94" s="8">
        <v>1196383.39</v>
      </c>
      <c r="K94" s="8">
        <v>1196383.39</v>
      </c>
      <c r="L94" s="8">
        <v>1196383.39</v>
      </c>
      <c r="M94" s="8">
        <v>1196383.39</v>
      </c>
      <c r="N94" s="8">
        <v>1196383.39</v>
      </c>
      <c r="O94" s="8">
        <v>1196383.39</v>
      </c>
      <c r="P94" s="8">
        <v>1196383.39</v>
      </c>
      <c r="Q94" s="213">
        <f t="shared" si="13"/>
        <v>14356600.680000002</v>
      </c>
      <c r="R94" s="214"/>
    </row>
    <row r="95" spans="1:18" ht="15.75">
      <c r="A95" s="215" t="s">
        <v>185</v>
      </c>
      <c r="B95" s="216"/>
      <c r="C95" s="216"/>
      <c r="D95" s="217"/>
      <c r="E95" s="8">
        <v>110146.97</v>
      </c>
      <c r="F95" s="8">
        <v>110146.97</v>
      </c>
      <c r="G95" s="8">
        <v>110146.97</v>
      </c>
      <c r="H95" s="8">
        <v>110146.97</v>
      </c>
      <c r="I95" s="8">
        <v>110146.97</v>
      </c>
      <c r="J95" s="8">
        <v>110146.97</v>
      </c>
      <c r="K95" s="8">
        <v>110146.97</v>
      </c>
      <c r="L95" s="8">
        <v>110146.97</v>
      </c>
      <c r="M95" s="8">
        <v>110146.97</v>
      </c>
      <c r="N95" s="8">
        <v>110146.97</v>
      </c>
      <c r="O95" s="8">
        <v>110146.97</v>
      </c>
      <c r="P95" s="8">
        <v>110146.97</v>
      </c>
      <c r="Q95" s="213">
        <f t="shared" si="13"/>
        <v>1321763.64</v>
      </c>
      <c r="R95" s="214"/>
    </row>
    <row r="96" spans="1:18" ht="15.75">
      <c r="A96" s="215" t="s">
        <v>186</v>
      </c>
      <c r="B96" s="216"/>
      <c r="C96" s="216"/>
      <c r="D96" s="217"/>
      <c r="E96" s="8">
        <v>94901.96</v>
      </c>
      <c r="F96" s="8">
        <v>94901.96</v>
      </c>
      <c r="G96" s="8">
        <v>94901.96</v>
      </c>
      <c r="H96" s="8">
        <v>94901.96</v>
      </c>
      <c r="I96" s="8">
        <v>94901.96</v>
      </c>
      <c r="J96" s="8">
        <v>94901.96</v>
      </c>
      <c r="K96" s="8">
        <v>94901.96</v>
      </c>
      <c r="L96" s="8">
        <v>94901.96</v>
      </c>
      <c r="M96" s="8">
        <v>94901.96</v>
      </c>
      <c r="N96" s="8">
        <v>94901.96</v>
      </c>
      <c r="O96" s="8">
        <v>94901.96</v>
      </c>
      <c r="P96" s="8">
        <v>94901.96</v>
      </c>
      <c r="Q96" s="213">
        <f t="shared" si="13"/>
        <v>1138823.5199999998</v>
      </c>
      <c r="R96" s="214"/>
    </row>
    <row r="97" spans="1:18" ht="15.75">
      <c r="A97" s="215" t="s">
        <v>187</v>
      </c>
      <c r="B97" s="216"/>
      <c r="C97" s="216"/>
      <c r="D97" s="217"/>
      <c r="E97" s="8">
        <v>33019.61</v>
      </c>
      <c r="F97" s="8">
        <v>33019.61</v>
      </c>
      <c r="G97" s="8">
        <v>33019.61</v>
      </c>
      <c r="H97" s="8">
        <v>33019.61</v>
      </c>
      <c r="I97" s="8">
        <v>33019.61</v>
      </c>
      <c r="J97" s="8">
        <v>33019.61</v>
      </c>
      <c r="K97" s="8">
        <v>33019.61</v>
      </c>
      <c r="L97" s="8">
        <v>33019.61</v>
      </c>
      <c r="M97" s="8">
        <v>33019.61</v>
      </c>
      <c r="N97" s="8">
        <v>33019.61</v>
      </c>
      <c r="O97" s="8">
        <v>33019.61</v>
      </c>
      <c r="P97" s="8">
        <v>33019.61</v>
      </c>
      <c r="Q97" s="213">
        <f t="shared" si="13"/>
        <v>396235.3199999999</v>
      </c>
      <c r="R97" s="214"/>
    </row>
    <row r="98" spans="1:18" ht="15.75">
      <c r="A98" s="215" t="s">
        <v>182</v>
      </c>
      <c r="B98" s="216"/>
      <c r="C98" s="216"/>
      <c r="D98" s="217"/>
      <c r="E98" s="8">
        <v>4901.96</v>
      </c>
      <c r="F98" s="8">
        <v>4901.96</v>
      </c>
      <c r="G98" s="8">
        <v>4901.96</v>
      </c>
      <c r="H98" s="8">
        <v>4901.96</v>
      </c>
      <c r="I98" s="8">
        <v>4901.96</v>
      </c>
      <c r="J98" s="8">
        <v>4901.96</v>
      </c>
      <c r="K98" s="8">
        <v>4901.96</v>
      </c>
      <c r="L98" s="8">
        <v>4901.96</v>
      </c>
      <c r="M98" s="8">
        <v>4901.96</v>
      </c>
      <c r="N98" s="8">
        <v>4901.96</v>
      </c>
      <c r="O98" s="8">
        <v>4901.96</v>
      </c>
      <c r="P98" s="8">
        <v>4901.96</v>
      </c>
      <c r="Q98" s="213">
        <f t="shared" si="13"/>
        <v>58823.52</v>
      </c>
      <c r="R98" s="214"/>
    </row>
    <row r="99" spans="1:18" ht="16.5" thickBot="1">
      <c r="A99" s="163" t="s">
        <v>175</v>
      </c>
      <c r="B99" s="164"/>
      <c r="C99" s="164"/>
      <c r="D99" s="165"/>
      <c r="E99" s="9">
        <f aca="true" t="shared" si="14" ref="E99:P99">E98+E97+E96+E95+E94+E93+E92+E91+E90+E89</f>
        <v>2693317.2899999996</v>
      </c>
      <c r="F99" s="9">
        <f t="shared" si="14"/>
        <v>2693317.2899999996</v>
      </c>
      <c r="G99" s="9">
        <f t="shared" si="14"/>
        <v>2693317.2899999996</v>
      </c>
      <c r="H99" s="9">
        <f t="shared" si="14"/>
        <v>2693317.2899999996</v>
      </c>
      <c r="I99" s="9">
        <f t="shared" si="14"/>
        <v>2693317.2899999996</v>
      </c>
      <c r="J99" s="9">
        <f t="shared" si="14"/>
        <v>2693317.2899999996</v>
      </c>
      <c r="K99" s="9">
        <f t="shared" si="14"/>
        <v>2693317.2899999996</v>
      </c>
      <c r="L99" s="9">
        <f t="shared" si="14"/>
        <v>2693317.2899999996</v>
      </c>
      <c r="M99" s="9">
        <f t="shared" si="14"/>
        <v>2693317.2899999996</v>
      </c>
      <c r="N99" s="9">
        <f t="shared" si="14"/>
        <v>2693317.2899999996</v>
      </c>
      <c r="O99" s="9">
        <f t="shared" si="14"/>
        <v>2693317.2899999996</v>
      </c>
      <c r="P99" s="9">
        <f t="shared" si="14"/>
        <v>2693317.2899999996</v>
      </c>
      <c r="Q99" s="213">
        <f>P99+O99+N99+M99+L99+K99+J99+I99+H99+G99+F99+E99</f>
        <v>32319807.479999993</v>
      </c>
      <c r="R99" s="214"/>
    </row>
    <row r="100" spans="1:18" ht="16.5" thickBot="1">
      <c r="A100" s="218" t="s">
        <v>193</v>
      </c>
      <c r="B100" s="219"/>
      <c r="C100" s="219"/>
      <c r="D100" s="219"/>
      <c r="E100" s="219"/>
      <c r="F100" s="219"/>
      <c r="G100" s="219"/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20"/>
    </row>
    <row r="101" spans="1:18" ht="15.75">
      <c r="A101" s="230" t="s">
        <v>174</v>
      </c>
      <c r="B101" s="230"/>
      <c r="C101" s="230"/>
      <c r="D101" s="230"/>
      <c r="E101" s="221" t="s">
        <v>26</v>
      </c>
      <c r="F101" s="222"/>
      <c r="G101" s="222"/>
      <c r="H101" s="222"/>
      <c r="I101" s="222"/>
      <c r="J101" s="222"/>
      <c r="K101" s="222"/>
      <c r="L101" s="222"/>
      <c r="M101" s="222"/>
      <c r="N101" s="222"/>
      <c r="O101" s="222"/>
      <c r="P101" s="223"/>
      <c r="Q101" s="232" t="s">
        <v>175</v>
      </c>
      <c r="R101" s="232"/>
    </row>
    <row r="102" spans="1:18" ht="15.75">
      <c r="A102" s="231"/>
      <c r="B102" s="231"/>
      <c r="C102" s="231"/>
      <c r="D102" s="231"/>
      <c r="E102" s="21">
        <v>47362</v>
      </c>
      <c r="F102" s="21">
        <v>47392</v>
      </c>
      <c r="G102" s="21">
        <v>47423</v>
      </c>
      <c r="H102" s="21">
        <v>47453</v>
      </c>
      <c r="I102" s="21">
        <v>47484</v>
      </c>
      <c r="J102" s="21">
        <v>47515</v>
      </c>
      <c r="K102" s="21">
        <v>47543</v>
      </c>
      <c r="L102" s="21">
        <v>47574</v>
      </c>
      <c r="M102" s="21">
        <v>47604</v>
      </c>
      <c r="N102" s="21">
        <v>47635</v>
      </c>
      <c r="O102" s="21">
        <v>47665</v>
      </c>
      <c r="P102" s="21">
        <v>47696</v>
      </c>
      <c r="Q102" s="233"/>
      <c r="R102" s="233"/>
    </row>
    <row r="103" spans="1:18" ht="15.75">
      <c r="A103" s="234" t="s">
        <v>176</v>
      </c>
      <c r="B103" s="234"/>
      <c r="C103" s="234"/>
      <c r="D103" s="234"/>
      <c r="E103" s="22">
        <v>56306.31</v>
      </c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114">
        <f aca="true" t="shared" si="15" ref="Q103:Q112">P103+O103+N103+M103+L103+K103+J103+I103+H103+G103+F103+E103</f>
        <v>56306.31</v>
      </c>
      <c r="R103" s="114"/>
    </row>
    <row r="104" spans="1:18" ht="15.75">
      <c r="A104" s="234" t="s">
        <v>178</v>
      </c>
      <c r="B104" s="234"/>
      <c r="C104" s="234"/>
      <c r="D104" s="234"/>
      <c r="E104" s="8">
        <v>858627.96</v>
      </c>
      <c r="F104" s="8">
        <v>858627.96</v>
      </c>
      <c r="G104" s="8">
        <v>858627.96</v>
      </c>
      <c r="H104" s="8">
        <v>858627.96</v>
      </c>
      <c r="I104" s="8">
        <v>858627.96</v>
      </c>
      <c r="J104" s="8">
        <v>858627.96</v>
      </c>
      <c r="K104" s="8">
        <v>858627.96</v>
      </c>
      <c r="L104" s="8">
        <v>858627.96</v>
      </c>
      <c r="M104" s="8">
        <v>858627.96</v>
      </c>
      <c r="N104" s="8">
        <v>858627.96</v>
      </c>
      <c r="O104" s="8">
        <v>858627.96</v>
      </c>
      <c r="P104" s="8">
        <v>858627.96</v>
      </c>
      <c r="Q104" s="114">
        <f t="shared" si="15"/>
        <v>10303535.52</v>
      </c>
      <c r="R104" s="114"/>
    </row>
    <row r="105" spans="1:18" ht="15.75">
      <c r="A105" s="215" t="s">
        <v>179</v>
      </c>
      <c r="B105" s="216"/>
      <c r="C105" s="216"/>
      <c r="D105" s="217"/>
      <c r="E105" s="8">
        <v>83185.99</v>
      </c>
      <c r="F105" s="8">
        <v>83185.99</v>
      </c>
      <c r="G105" s="8">
        <v>83185.99</v>
      </c>
      <c r="H105" s="8">
        <v>83185.99</v>
      </c>
      <c r="I105" s="8">
        <v>83185.99</v>
      </c>
      <c r="J105" s="8">
        <v>83185.99</v>
      </c>
      <c r="K105" s="8">
        <v>83185.99</v>
      </c>
      <c r="L105" s="8">
        <v>83185.99</v>
      </c>
      <c r="M105" s="8">
        <v>83185.99</v>
      </c>
      <c r="N105" s="8">
        <v>83185.99</v>
      </c>
      <c r="O105" s="8">
        <v>83185.99</v>
      </c>
      <c r="P105" s="8">
        <v>83185.99</v>
      </c>
      <c r="Q105" s="213">
        <f t="shared" si="15"/>
        <v>998231.88</v>
      </c>
      <c r="R105" s="214"/>
    </row>
    <row r="106" spans="1:18" ht="15.75">
      <c r="A106" s="215" t="s">
        <v>180</v>
      </c>
      <c r="B106" s="216"/>
      <c r="C106" s="216"/>
      <c r="D106" s="217"/>
      <c r="E106" s="8">
        <v>189803.92</v>
      </c>
      <c r="F106" s="8">
        <v>189803.92</v>
      </c>
      <c r="G106" s="8">
        <v>189803.92</v>
      </c>
      <c r="H106" s="8">
        <v>189803.92</v>
      </c>
      <c r="I106" s="8">
        <v>189803.92</v>
      </c>
      <c r="J106" s="8">
        <v>189803.92</v>
      </c>
      <c r="K106" s="8">
        <v>189803.92</v>
      </c>
      <c r="L106" s="8">
        <v>189803.92</v>
      </c>
      <c r="M106" s="8">
        <v>189803.92</v>
      </c>
      <c r="N106" s="8">
        <v>189803.92</v>
      </c>
      <c r="O106" s="8">
        <v>189803.92</v>
      </c>
      <c r="P106" s="8">
        <v>189803.92</v>
      </c>
      <c r="Q106" s="213">
        <f t="shared" si="15"/>
        <v>2277647.0399999996</v>
      </c>
      <c r="R106" s="214"/>
    </row>
    <row r="107" spans="1:18" ht="15.75">
      <c r="A107" s="215" t="s">
        <v>181</v>
      </c>
      <c r="B107" s="216"/>
      <c r="C107" s="216"/>
      <c r="D107" s="217"/>
      <c r="E107" s="8">
        <v>66039.22</v>
      </c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213">
        <f t="shared" si="15"/>
        <v>66039.22</v>
      </c>
      <c r="R107" s="214"/>
    </row>
    <row r="108" spans="1:18" ht="15.75">
      <c r="A108" s="215" t="s">
        <v>184</v>
      </c>
      <c r="B108" s="216"/>
      <c r="C108" s="216"/>
      <c r="D108" s="217"/>
      <c r="E108" s="8">
        <v>1196383.39</v>
      </c>
      <c r="F108" s="8">
        <v>1196383.39</v>
      </c>
      <c r="G108" s="8">
        <v>1196383.39</v>
      </c>
      <c r="H108" s="8">
        <v>1196383.39</v>
      </c>
      <c r="I108" s="8">
        <v>1196383.39</v>
      </c>
      <c r="J108" s="8">
        <v>1196383.39</v>
      </c>
      <c r="K108" s="8">
        <v>1196383.39</v>
      </c>
      <c r="L108" s="8">
        <v>1196383.39</v>
      </c>
      <c r="M108" s="8">
        <v>1196383.39</v>
      </c>
      <c r="N108" s="8">
        <v>1196383.39</v>
      </c>
      <c r="O108" s="8">
        <v>1196383.39</v>
      </c>
      <c r="P108" s="8">
        <v>1196383.39</v>
      </c>
      <c r="Q108" s="213">
        <f t="shared" si="15"/>
        <v>14356600.680000002</v>
      </c>
      <c r="R108" s="214"/>
    </row>
    <row r="109" spans="1:18" ht="15.75">
      <c r="A109" s="215" t="s">
        <v>185</v>
      </c>
      <c r="B109" s="216"/>
      <c r="C109" s="216"/>
      <c r="D109" s="217"/>
      <c r="E109" s="8">
        <v>110146.97</v>
      </c>
      <c r="F109" s="8">
        <v>110146.97</v>
      </c>
      <c r="G109" s="8">
        <v>110146.97</v>
      </c>
      <c r="H109" s="8">
        <v>110146.97</v>
      </c>
      <c r="I109" s="8">
        <v>110146.97</v>
      </c>
      <c r="J109" s="8">
        <v>110146.97</v>
      </c>
      <c r="K109" s="8">
        <v>110146.97</v>
      </c>
      <c r="L109" s="8">
        <v>110146.97</v>
      </c>
      <c r="M109" s="8">
        <v>110146.97</v>
      </c>
      <c r="N109" s="8">
        <v>110146.97</v>
      </c>
      <c r="O109" s="8">
        <v>110146.97</v>
      </c>
      <c r="P109" s="8">
        <v>110146.97</v>
      </c>
      <c r="Q109" s="213">
        <f t="shared" si="15"/>
        <v>1321763.64</v>
      </c>
      <c r="R109" s="214"/>
    </row>
    <row r="110" spans="1:18" ht="15.75">
      <c r="A110" s="215" t="s">
        <v>186</v>
      </c>
      <c r="B110" s="216"/>
      <c r="C110" s="216"/>
      <c r="D110" s="217"/>
      <c r="E110" s="8">
        <v>94901.96</v>
      </c>
      <c r="F110" s="8">
        <v>94901.96</v>
      </c>
      <c r="G110" s="8">
        <v>94901.96</v>
      </c>
      <c r="H110" s="8">
        <v>94901.96</v>
      </c>
      <c r="I110" s="8">
        <v>94901.96</v>
      </c>
      <c r="J110" s="8">
        <v>94901.96</v>
      </c>
      <c r="K110" s="8">
        <v>94901.96</v>
      </c>
      <c r="L110" s="8">
        <v>94901.96</v>
      </c>
      <c r="M110" s="8">
        <v>94901.96</v>
      </c>
      <c r="N110" s="8">
        <v>94901.96</v>
      </c>
      <c r="O110" s="8">
        <v>94901.96</v>
      </c>
      <c r="P110" s="8">
        <v>94901.96</v>
      </c>
      <c r="Q110" s="213">
        <f t="shared" si="15"/>
        <v>1138823.5199999998</v>
      </c>
      <c r="R110" s="214"/>
    </row>
    <row r="111" spans="1:18" ht="15.75">
      <c r="A111" s="215" t="s">
        <v>187</v>
      </c>
      <c r="B111" s="216"/>
      <c r="C111" s="216"/>
      <c r="D111" s="217"/>
      <c r="E111" s="8">
        <v>33019.61</v>
      </c>
      <c r="F111" s="8">
        <v>33019.61</v>
      </c>
      <c r="G111" s="8">
        <v>33019.61</v>
      </c>
      <c r="H111" s="8">
        <v>33019.61</v>
      </c>
      <c r="I111" s="8">
        <v>33019.61</v>
      </c>
      <c r="J111" s="8">
        <v>33019.61</v>
      </c>
      <c r="K111" s="8">
        <v>33019.61</v>
      </c>
      <c r="L111" s="8">
        <v>33019.61</v>
      </c>
      <c r="M111" s="8">
        <v>33019.61</v>
      </c>
      <c r="N111" s="8">
        <v>33019.61</v>
      </c>
      <c r="O111" s="8">
        <v>33019.61</v>
      </c>
      <c r="P111" s="8">
        <v>33019.61</v>
      </c>
      <c r="Q111" s="213">
        <f t="shared" si="15"/>
        <v>396235.3199999999</v>
      </c>
      <c r="R111" s="214"/>
    </row>
    <row r="112" spans="1:18" ht="15.75">
      <c r="A112" s="215" t="s">
        <v>182</v>
      </c>
      <c r="B112" s="216"/>
      <c r="C112" s="216"/>
      <c r="D112" s="217"/>
      <c r="E112" s="8">
        <v>4901.96</v>
      </c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213">
        <f t="shared" si="15"/>
        <v>4901.96</v>
      </c>
      <c r="R112" s="214"/>
    </row>
    <row r="113" spans="1:18" ht="16.5" thickBot="1">
      <c r="A113" s="163" t="s">
        <v>175</v>
      </c>
      <c r="B113" s="164"/>
      <c r="C113" s="164"/>
      <c r="D113" s="165"/>
      <c r="E113" s="9">
        <f aca="true" t="shared" si="16" ref="E113:P113">E112+E111+E110+E109+E108+E107+E106+E105+E104+E103</f>
        <v>2693317.2899999996</v>
      </c>
      <c r="F113" s="9">
        <f t="shared" si="16"/>
        <v>2566069.8</v>
      </c>
      <c r="G113" s="9">
        <f t="shared" si="16"/>
        <v>2566069.8</v>
      </c>
      <c r="H113" s="9">
        <f t="shared" si="16"/>
        <v>2566069.8</v>
      </c>
      <c r="I113" s="9">
        <f t="shared" si="16"/>
        <v>2566069.8</v>
      </c>
      <c r="J113" s="9">
        <f t="shared" si="16"/>
        <v>2566069.8</v>
      </c>
      <c r="K113" s="9">
        <f t="shared" si="16"/>
        <v>2566069.8</v>
      </c>
      <c r="L113" s="9">
        <f t="shared" si="16"/>
        <v>2566069.8</v>
      </c>
      <c r="M113" s="9">
        <f t="shared" si="16"/>
        <v>2566069.8</v>
      </c>
      <c r="N113" s="9">
        <f t="shared" si="16"/>
        <v>2566069.8</v>
      </c>
      <c r="O113" s="9">
        <f t="shared" si="16"/>
        <v>2566069.8</v>
      </c>
      <c r="P113" s="9">
        <f t="shared" si="16"/>
        <v>2566069.8</v>
      </c>
      <c r="Q113" s="213">
        <f>P113+O113+N113+M113+L113+K113+J113+I113+H113+G113+F113+E113</f>
        <v>30920085.090000004</v>
      </c>
      <c r="R113" s="214"/>
    </row>
    <row r="114" spans="1:18" ht="16.5" thickBot="1">
      <c r="A114" s="218" t="s">
        <v>194</v>
      </c>
      <c r="B114" s="219"/>
      <c r="C114" s="219"/>
      <c r="D114" s="219"/>
      <c r="E114" s="219"/>
      <c r="F114" s="219"/>
      <c r="G114" s="219"/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20"/>
    </row>
    <row r="115" spans="1:18" ht="15.75">
      <c r="A115" s="230" t="s">
        <v>174</v>
      </c>
      <c r="B115" s="230"/>
      <c r="C115" s="230"/>
      <c r="D115" s="230"/>
      <c r="E115" s="221" t="s">
        <v>26</v>
      </c>
      <c r="F115" s="222"/>
      <c r="G115" s="222"/>
      <c r="H115" s="222"/>
      <c r="I115" s="222"/>
      <c r="J115" s="222"/>
      <c r="K115" s="222"/>
      <c r="L115" s="222"/>
      <c r="M115" s="222"/>
      <c r="N115" s="222"/>
      <c r="O115" s="222"/>
      <c r="P115" s="223"/>
      <c r="Q115" s="232" t="s">
        <v>175</v>
      </c>
      <c r="R115" s="232"/>
    </row>
    <row r="116" spans="1:18" ht="15.75">
      <c r="A116" s="231"/>
      <c r="B116" s="231"/>
      <c r="C116" s="231"/>
      <c r="D116" s="231"/>
      <c r="E116" s="21">
        <v>47727</v>
      </c>
      <c r="F116" s="21">
        <v>47757</v>
      </c>
      <c r="G116" s="21">
        <v>47788</v>
      </c>
      <c r="H116" s="21">
        <v>47818</v>
      </c>
      <c r="I116" s="21">
        <v>47849</v>
      </c>
      <c r="J116" s="21">
        <v>47880</v>
      </c>
      <c r="K116" s="21">
        <v>47908</v>
      </c>
      <c r="L116" s="21">
        <v>47939</v>
      </c>
      <c r="M116" s="21">
        <v>47969</v>
      </c>
      <c r="N116" s="21">
        <v>48000</v>
      </c>
      <c r="O116" s="21">
        <v>48030</v>
      </c>
      <c r="P116" s="21">
        <v>48061</v>
      </c>
      <c r="Q116" s="233"/>
      <c r="R116" s="233"/>
    </row>
    <row r="117" spans="1:18" ht="15.75">
      <c r="A117" s="215" t="s">
        <v>178</v>
      </c>
      <c r="B117" s="216"/>
      <c r="C117" s="216"/>
      <c r="D117" s="217"/>
      <c r="E117" s="8">
        <v>858627.96</v>
      </c>
      <c r="F117" s="8">
        <v>858627.96</v>
      </c>
      <c r="G117" s="8">
        <v>858627.96</v>
      </c>
      <c r="H117" s="8">
        <v>858627.96</v>
      </c>
      <c r="I117" s="8">
        <v>858627.96</v>
      </c>
      <c r="J117" s="8">
        <v>858627.96</v>
      </c>
      <c r="K117" s="8">
        <v>858627.96</v>
      </c>
      <c r="L117" s="8">
        <v>858627.96</v>
      </c>
      <c r="M117" s="8">
        <v>858627.96</v>
      </c>
      <c r="N117" s="8">
        <v>858627.96</v>
      </c>
      <c r="O117" s="8">
        <v>858627.96</v>
      </c>
      <c r="P117" s="8">
        <v>858627.96</v>
      </c>
      <c r="Q117" s="213">
        <f aca="true" t="shared" si="17" ref="Q117:Q124">P117+O117+N117+M117+L117+K117+J117+I117+H117+G117+F117+E117</f>
        <v>10303535.52</v>
      </c>
      <c r="R117" s="214"/>
    </row>
    <row r="118" spans="1:18" ht="15.75">
      <c r="A118" s="215" t="s">
        <v>179</v>
      </c>
      <c r="B118" s="216"/>
      <c r="C118" s="216"/>
      <c r="D118" s="217"/>
      <c r="E118" s="8">
        <v>83185.99</v>
      </c>
      <c r="F118" s="8">
        <v>83185.99</v>
      </c>
      <c r="G118" s="8">
        <v>83185.99</v>
      </c>
      <c r="H118" s="8">
        <v>83185.99</v>
      </c>
      <c r="I118" s="8">
        <v>83185.99</v>
      </c>
      <c r="J118" s="8">
        <v>83185.99</v>
      </c>
      <c r="K118" s="8">
        <v>83185.99</v>
      </c>
      <c r="L118" s="8">
        <v>83185.99</v>
      </c>
      <c r="M118" s="8">
        <v>83185.99</v>
      </c>
      <c r="N118" s="8">
        <v>83185.99</v>
      </c>
      <c r="O118" s="8">
        <v>83185.99</v>
      </c>
      <c r="P118" s="8">
        <v>83185.99</v>
      </c>
      <c r="Q118" s="213">
        <f t="shared" si="17"/>
        <v>998231.88</v>
      </c>
      <c r="R118" s="214"/>
    </row>
    <row r="119" spans="1:18" ht="15.75">
      <c r="A119" s="215" t="s">
        <v>180</v>
      </c>
      <c r="B119" s="216"/>
      <c r="C119" s="216"/>
      <c r="D119" s="217"/>
      <c r="E119" s="8">
        <v>189803.92</v>
      </c>
      <c r="F119" s="8">
        <v>189803.92</v>
      </c>
      <c r="G119" s="8">
        <v>189803.92</v>
      </c>
      <c r="H119" s="8">
        <v>189803.92</v>
      </c>
      <c r="I119" s="8">
        <v>189803.92</v>
      </c>
      <c r="J119" s="8">
        <v>189803.92</v>
      </c>
      <c r="K119" s="8">
        <v>189803.92</v>
      </c>
      <c r="L119" s="8">
        <v>189803.92</v>
      </c>
      <c r="M119" s="8">
        <v>189803.92</v>
      </c>
      <c r="N119" s="8">
        <v>189803.92</v>
      </c>
      <c r="O119" s="8">
        <v>189803.92</v>
      </c>
      <c r="P119" s="8">
        <v>189803.92</v>
      </c>
      <c r="Q119" s="213">
        <f t="shared" si="17"/>
        <v>2277647.0399999996</v>
      </c>
      <c r="R119" s="214"/>
    </row>
    <row r="120" spans="1:18" ht="15.75">
      <c r="A120" s="215" t="s">
        <v>184</v>
      </c>
      <c r="B120" s="216"/>
      <c r="C120" s="216"/>
      <c r="D120" s="217"/>
      <c r="E120" s="8">
        <v>1196383.39</v>
      </c>
      <c r="F120" s="8">
        <v>1196383.39</v>
      </c>
      <c r="G120" s="8">
        <v>1196383.39</v>
      </c>
      <c r="H120" s="8">
        <v>1196383.39</v>
      </c>
      <c r="I120" s="8">
        <v>1196383.39</v>
      </c>
      <c r="J120" s="8">
        <v>1196383.39</v>
      </c>
      <c r="K120" s="8">
        <v>1196383.39</v>
      </c>
      <c r="L120" s="8">
        <v>1196383.39</v>
      </c>
      <c r="M120" s="8">
        <v>1196383.39</v>
      </c>
      <c r="N120" s="8">
        <v>1196383.39</v>
      </c>
      <c r="O120" s="8">
        <v>1196383.39</v>
      </c>
      <c r="P120" s="8">
        <v>1196383.39</v>
      </c>
      <c r="Q120" s="213">
        <f t="shared" si="17"/>
        <v>14356600.680000002</v>
      </c>
      <c r="R120" s="214"/>
    </row>
    <row r="121" spans="1:18" ht="15.75">
      <c r="A121" s="215" t="s">
        <v>185</v>
      </c>
      <c r="B121" s="216"/>
      <c r="C121" s="216"/>
      <c r="D121" s="217"/>
      <c r="E121" s="8">
        <v>110146.97</v>
      </c>
      <c r="F121" s="8">
        <v>110146.97</v>
      </c>
      <c r="G121" s="8">
        <v>110146.97</v>
      </c>
      <c r="H121" s="8">
        <v>110146.97</v>
      </c>
      <c r="I121" s="8">
        <v>110146.97</v>
      </c>
      <c r="J121" s="8">
        <v>110146.97</v>
      </c>
      <c r="K121" s="8">
        <v>110146.97</v>
      </c>
      <c r="L121" s="8">
        <v>110146.97</v>
      </c>
      <c r="M121" s="8">
        <v>110146.97</v>
      </c>
      <c r="N121" s="8">
        <v>110146.97</v>
      </c>
      <c r="O121" s="8">
        <v>110146.97</v>
      </c>
      <c r="P121" s="8">
        <v>110146.97</v>
      </c>
      <c r="Q121" s="213">
        <f t="shared" si="17"/>
        <v>1321763.64</v>
      </c>
      <c r="R121" s="214"/>
    </row>
    <row r="122" spans="1:18" ht="15.75">
      <c r="A122" s="215" t="s">
        <v>186</v>
      </c>
      <c r="B122" s="216"/>
      <c r="C122" s="216"/>
      <c r="D122" s="217"/>
      <c r="E122" s="8">
        <v>94901.96</v>
      </c>
      <c r="F122" s="8">
        <v>94901.96</v>
      </c>
      <c r="G122" s="8">
        <v>94901.96</v>
      </c>
      <c r="H122" s="8">
        <v>94901.96</v>
      </c>
      <c r="I122" s="8">
        <v>94901.96</v>
      </c>
      <c r="J122" s="8">
        <v>94901.96</v>
      </c>
      <c r="K122" s="8">
        <v>94901.96</v>
      </c>
      <c r="L122" s="8">
        <v>94901.96</v>
      </c>
      <c r="M122" s="8">
        <v>94901.96</v>
      </c>
      <c r="N122" s="8">
        <v>94901.96</v>
      </c>
      <c r="O122" s="8">
        <v>94901.96</v>
      </c>
      <c r="P122" s="8">
        <v>94901.96</v>
      </c>
      <c r="Q122" s="213">
        <f t="shared" si="17"/>
        <v>1138823.5199999998</v>
      </c>
      <c r="R122" s="214"/>
    </row>
    <row r="123" spans="1:18" ht="15.75">
      <c r="A123" s="215" t="s">
        <v>187</v>
      </c>
      <c r="B123" s="216"/>
      <c r="C123" s="216"/>
      <c r="D123" s="217"/>
      <c r="E123" s="8">
        <v>33019.61</v>
      </c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213">
        <f t="shared" si="17"/>
        <v>33019.61</v>
      </c>
      <c r="R123" s="214"/>
    </row>
    <row r="124" spans="1:18" ht="16.5" thickBot="1">
      <c r="A124" s="163" t="s">
        <v>175</v>
      </c>
      <c r="B124" s="164"/>
      <c r="C124" s="164"/>
      <c r="D124" s="165"/>
      <c r="E124" s="9">
        <f aca="true" t="shared" si="18" ref="E124:P124">E123+E122+E121+E120+E119+E118+E117</f>
        <v>2566069.8</v>
      </c>
      <c r="F124" s="9">
        <f t="shared" si="18"/>
        <v>2533050.1899999995</v>
      </c>
      <c r="G124" s="9">
        <f t="shared" si="18"/>
        <v>2533050.1899999995</v>
      </c>
      <c r="H124" s="9">
        <f t="shared" si="18"/>
        <v>2533050.1899999995</v>
      </c>
      <c r="I124" s="9">
        <f t="shared" si="18"/>
        <v>2533050.1899999995</v>
      </c>
      <c r="J124" s="9">
        <f t="shared" si="18"/>
        <v>2533050.1899999995</v>
      </c>
      <c r="K124" s="9">
        <f t="shared" si="18"/>
        <v>2533050.1899999995</v>
      </c>
      <c r="L124" s="9">
        <f t="shared" si="18"/>
        <v>2533050.1899999995</v>
      </c>
      <c r="M124" s="9">
        <f t="shared" si="18"/>
        <v>2533050.1899999995</v>
      </c>
      <c r="N124" s="9">
        <f t="shared" si="18"/>
        <v>2533050.1899999995</v>
      </c>
      <c r="O124" s="9">
        <f t="shared" si="18"/>
        <v>2533050.1899999995</v>
      </c>
      <c r="P124" s="9">
        <f t="shared" si="18"/>
        <v>2533050.1899999995</v>
      </c>
      <c r="Q124" s="213">
        <f t="shared" si="17"/>
        <v>30429621.88999999</v>
      </c>
      <c r="R124" s="214"/>
    </row>
    <row r="125" spans="1:18" ht="16.5" thickBot="1">
      <c r="A125" s="218" t="s">
        <v>195</v>
      </c>
      <c r="B125" s="219"/>
      <c r="C125" s="219"/>
      <c r="D125" s="219"/>
      <c r="E125" s="219"/>
      <c r="F125" s="219"/>
      <c r="G125" s="219"/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20"/>
    </row>
    <row r="126" spans="1:18" ht="15.75">
      <c r="A126" s="230" t="s">
        <v>174</v>
      </c>
      <c r="B126" s="230"/>
      <c r="C126" s="230"/>
      <c r="D126" s="230"/>
      <c r="E126" s="221" t="s">
        <v>26</v>
      </c>
      <c r="F126" s="222"/>
      <c r="G126" s="222"/>
      <c r="H126" s="222"/>
      <c r="I126" s="222"/>
      <c r="J126" s="222"/>
      <c r="K126" s="222"/>
      <c r="L126" s="222"/>
      <c r="M126" s="222"/>
      <c r="N126" s="222"/>
      <c r="O126" s="222"/>
      <c r="P126" s="223"/>
      <c r="Q126" s="232" t="s">
        <v>175</v>
      </c>
      <c r="R126" s="232"/>
    </row>
    <row r="127" spans="1:18" ht="15.75">
      <c r="A127" s="231"/>
      <c r="B127" s="231"/>
      <c r="C127" s="231"/>
      <c r="D127" s="231"/>
      <c r="E127" s="21">
        <v>48092</v>
      </c>
      <c r="F127" s="21">
        <v>48122</v>
      </c>
      <c r="G127" s="21">
        <v>48153</v>
      </c>
      <c r="H127" s="21">
        <v>48183</v>
      </c>
      <c r="I127" s="21">
        <v>48214</v>
      </c>
      <c r="J127" s="21">
        <v>48245</v>
      </c>
      <c r="K127" s="21">
        <v>48274</v>
      </c>
      <c r="L127" s="21">
        <v>48305</v>
      </c>
      <c r="M127" s="21">
        <v>48335</v>
      </c>
      <c r="N127" s="21">
        <v>48366</v>
      </c>
      <c r="O127" s="21">
        <v>48396</v>
      </c>
      <c r="P127" s="21">
        <v>48427</v>
      </c>
      <c r="Q127" s="233"/>
      <c r="R127" s="233"/>
    </row>
    <row r="128" spans="1:18" ht="15.75">
      <c r="A128" s="234" t="s">
        <v>176</v>
      </c>
      <c r="B128" s="234"/>
      <c r="C128" s="234"/>
      <c r="D128" s="234"/>
      <c r="E128" s="22">
        <v>56306.31</v>
      </c>
      <c r="F128" s="22">
        <v>56306.31</v>
      </c>
      <c r="G128" s="22">
        <v>56306.31</v>
      </c>
      <c r="H128" s="22">
        <v>56306.31</v>
      </c>
      <c r="I128" s="22">
        <v>56306.31</v>
      </c>
      <c r="J128" s="22">
        <v>56306.31</v>
      </c>
      <c r="K128" s="22">
        <v>56306.31</v>
      </c>
      <c r="L128" s="22">
        <v>56306.31</v>
      </c>
      <c r="M128" s="22">
        <v>56306.31</v>
      </c>
      <c r="N128" s="22">
        <v>56306.31</v>
      </c>
      <c r="O128" s="22">
        <v>56306.31</v>
      </c>
      <c r="P128" s="22">
        <v>56306.31</v>
      </c>
      <c r="Q128" s="114">
        <f>P128+O128+N128+M128+L128+K128+J128+I128+H128+G128+F128+E128</f>
        <v>675675.72</v>
      </c>
      <c r="R128" s="114"/>
    </row>
    <row r="129" spans="1:18" ht="15.75">
      <c r="A129" s="215" t="s">
        <v>178</v>
      </c>
      <c r="B129" s="216"/>
      <c r="C129" s="216"/>
      <c r="D129" s="217"/>
      <c r="E129" s="8">
        <v>858627.96</v>
      </c>
      <c r="F129" s="8">
        <v>858627.96</v>
      </c>
      <c r="G129" s="8">
        <v>858627.96</v>
      </c>
      <c r="H129" s="8">
        <v>858627.96</v>
      </c>
      <c r="I129" s="8">
        <v>858627.96</v>
      </c>
      <c r="J129" s="8">
        <v>858627.96</v>
      </c>
      <c r="K129" s="8">
        <v>858627.96</v>
      </c>
      <c r="L129" s="8">
        <v>858627.96</v>
      </c>
      <c r="M129" s="8">
        <v>858627.96</v>
      </c>
      <c r="N129" s="8">
        <v>858627.96</v>
      </c>
      <c r="O129" s="8">
        <v>858627.96</v>
      </c>
      <c r="P129" s="8">
        <v>858627.96</v>
      </c>
      <c r="Q129" s="213">
        <f aca="true" t="shared" si="19" ref="Q129:Q134">P129+O129+N129+M129+L129+K129+J129+I129+H129+G129+F129+E129</f>
        <v>10303535.52</v>
      </c>
      <c r="R129" s="214"/>
    </row>
    <row r="130" spans="1:18" ht="15.75">
      <c r="A130" s="215" t="s">
        <v>179</v>
      </c>
      <c r="B130" s="216"/>
      <c r="C130" s="216"/>
      <c r="D130" s="217"/>
      <c r="E130" s="8">
        <v>83185.99</v>
      </c>
      <c r="F130" s="8">
        <v>83185.99</v>
      </c>
      <c r="G130" s="8">
        <v>83185.99</v>
      </c>
      <c r="H130" s="8">
        <v>83185.99</v>
      </c>
      <c r="I130" s="8">
        <v>83185.99</v>
      </c>
      <c r="J130" s="8">
        <v>83185.99</v>
      </c>
      <c r="K130" s="8">
        <v>83185.99</v>
      </c>
      <c r="L130" s="8">
        <v>83185.99</v>
      </c>
      <c r="M130" s="8">
        <v>83185.99</v>
      </c>
      <c r="N130" s="8">
        <v>83185.99</v>
      </c>
      <c r="O130" s="8">
        <v>83185.99</v>
      </c>
      <c r="P130" s="8">
        <v>83185.99</v>
      </c>
      <c r="Q130" s="213">
        <f t="shared" si="19"/>
        <v>998231.88</v>
      </c>
      <c r="R130" s="214"/>
    </row>
    <row r="131" spans="1:18" ht="15.75">
      <c r="A131" s="215" t="s">
        <v>180</v>
      </c>
      <c r="B131" s="216"/>
      <c r="C131" s="216"/>
      <c r="D131" s="217"/>
      <c r="E131" s="8">
        <v>189803.92</v>
      </c>
      <c r="F131" s="8">
        <v>189803.92</v>
      </c>
      <c r="G131" s="8">
        <v>189803.92</v>
      </c>
      <c r="H131" s="8">
        <v>189803.92</v>
      </c>
      <c r="I131" s="8">
        <v>189803.92</v>
      </c>
      <c r="J131" s="8">
        <v>189803.92</v>
      </c>
      <c r="K131" s="8">
        <v>189803.92</v>
      </c>
      <c r="L131" s="8">
        <v>189803.92</v>
      </c>
      <c r="M131" s="8">
        <v>189803.92</v>
      </c>
      <c r="N131" s="8">
        <v>189803.92</v>
      </c>
      <c r="O131" s="8">
        <v>189803.92</v>
      </c>
      <c r="P131" s="8">
        <v>189803.92</v>
      </c>
      <c r="Q131" s="213">
        <f t="shared" si="19"/>
        <v>2277647.0399999996</v>
      </c>
      <c r="R131" s="214"/>
    </row>
    <row r="132" spans="1:18" ht="15.75">
      <c r="A132" s="215" t="s">
        <v>184</v>
      </c>
      <c r="B132" s="216"/>
      <c r="C132" s="216"/>
      <c r="D132" s="217"/>
      <c r="E132" s="8">
        <v>1196383.39</v>
      </c>
      <c r="F132" s="8">
        <v>1196383.39</v>
      </c>
      <c r="G132" s="8">
        <v>1196383.39</v>
      </c>
      <c r="H132" s="8">
        <v>1196383.39</v>
      </c>
      <c r="I132" s="8">
        <v>1196383.39</v>
      </c>
      <c r="J132" s="8">
        <v>1196383.39</v>
      </c>
      <c r="K132" s="8">
        <v>1196383.39</v>
      </c>
      <c r="L132" s="8">
        <v>1196383.39</v>
      </c>
      <c r="M132" s="8">
        <v>1196383.39</v>
      </c>
      <c r="N132" s="8">
        <v>1196383.39</v>
      </c>
      <c r="O132" s="8">
        <v>1196383.39</v>
      </c>
      <c r="P132" s="8">
        <v>1196383.39</v>
      </c>
      <c r="Q132" s="213">
        <f t="shared" si="19"/>
        <v>14356600.680000002</v>
      </c>
      <c r="R132" s="214"/>
    </row>
    <row r="133" spans="1:18" ht="15.75">
      <c r="A133" s="215" t="s">
        <v>185</v>
      </c>
      <c r="B133" s="216"/>
      <c r="C133" s="216"/>
      <c r="D133" s="217"/>
      <c r="E133" s="8">
        <v>110146.97</v>
      </c>
      <c r="F133" s="8">
        <v>110146.97</v>
      </c>
      <c r="G133" s="8">
        <v>110146.97</v>
      </c>
      <c r="H133" s="8">
        <v>110146.97</v>
      </c>
      <c r="I133" s="8">
        <v>110146.97</v>
      </c>
      <c r="J133" s="8">
        <v>110146.97</v>
      </c>
      <c r="K133" s="8">
        <v>110146.97</v>
      </c>
      <c r="L133" s="8">
        <v>110146.97</v>
      </c>
      <c r="M133" s="8">
        <v>110146.97</v>
      </c>
      <c r="N133" s="8">
        <v>110146.97</v>
      </c>
      <c r="O133" s="8">
        <v>110146.97</v>
      </c>
      <c r="P133" s="8">
        <v>110146.97</v>
      </c>
      <c r="Q133" s="213">
        <f t="shared" si="19"/>
        <v>1321763.64</v>
      </c>
      <c r="R133" s="214"/>
    </row>
    <row r="134" spans="1:18" ht="15.75">
      <c r="A134" s="215" t="s">
        <v>186</v>
      </c>
      <c r="B134" s="216"/>
      <c r="C134" s="216"/>
      <c r="D134" s="217"/>
      <c r="E134" s="8">
        <v>94901.96</v>
      </c>
      <c r="F134" s="8">
        <v>94901.96</v>
      </c>
      <c r="G134" s="8">
        <v>94901.96</v>
      </c>
      <c r="H134" s="8">
        <v>94901.96</v>
      </c>
      <c r="I134" s="8">
        <v>94901.96</v>
      </c>
      <c r="J134" s="8">
        <v>94901.96</v>
      </c>
      <c r="K134" s="8">
        <v>94901.96</v>
      </c>
      <c r="L134" s="8">
        <v>94901.96</v>
      </c>
      <c r="M134" s="8">
        <v>94901.96</v>
      </c>
      <c r="N134" s="8">
        <v>94901.96</v>
      </c>
      <c r="O134" s="8">
        <v>94901.96</v>
      </c>
      <c r="P134" s="8">
        <v>94901.96</v>
      </c>
      <c r="Q134" s="213">
        <f t="shared" si="19"/>
        <v>1138823.5199999998</v>
      </c>
      <c r="R134" s="214"/>
    </row>
    <row r="135" spans="1:18" ht="16.5" thickBot="1">
      <c r="A135" s="163" t="s">
        <v>175</v>
      </c>
      <c r="B135" s="164"/>
      <c r="C135" s="164"/>
      <c r="D135" s="165"/>
      <c r="E135" s="9">
        <f aca="true" t="shared" si="20" ref="E135:P135">E134+E133+E132+E131+E130+E129+E128</f>
        <v>2589356.4999999995</v>
      </c>
      <c r="F135" s="9">
        <f t="shared" si="20"/>
        <v>2589356.4999999995</v>
      </c>
      <c r="G135" s="9">
        <f t="shared" si="20"/>
        <v>2589356.4999999995</v>
      </c>
      <c r="H135" s="9">
        <f t="shared" si="20"/>
        <v>2589356.4999999995</v>
      </c>
      <c r="I135" s="9">
        <f t="shared" si="20"/>
        <v>2589356.4999999995</v>
      </c>
      <c r="J135" s="9">
        <f t="shared" si="20"/>
        <v>2589356.4999999995</v>
      </c>
      <c r="K135" s="9">
        <f t="shared" si="20"/>
        <v>2589356.4999999995</v>
      </c>
      <c r="L135" s="9">
        <f t="shared" si="20"/>
        <v>2589356.4999999995</v>
      </c>
      <c r="M135" s="9">
        <f t="shared" si="20"/>
        <v>2589356.4999999995</v>
      </c>
      <c r="N135" s="9">
        <f t="shared" si="20"/>
        <v>2589356.4999999995</v>
      </c>
      <c r="O135" s="9">
        <f t="shared" si="20"/>
        <v>2589356.4999999995</v>
      </c>
      <c r="P135" s="9">
        <f t="shared" si="20"/>
        <v>2589356.4999999995</v>
      </c>
      <c r="Q135" s="213">
        <f>P135+O135+N135+M135+L135+K135+J135+I135+H135+G135+F135+E135</f>
        <v>31072277.999999996</v>
      </c>
      <c r="R135" s="214"/>
    </row>
    <row r="136" spans="1:18" ht="16.5" thickBot="1">
      <c r="A136" s="218" t="s">
        <v>196</v>
      </c>
      <c r="B136" s="219"/>
      <c r="C136" s="219"/>
      <c r="D136" s="219"/>
      <c r="E136" s="219"/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20"/>
    </row>
    <row r="137" spans="1:18" ht="15.75">
      <c r="A137" s="230" t="s">
        <v>174</v>
      </c>
      <c r="B137" s="230"/>
      <c r="C137" s="230"/>
      <c r="D137" s="230"/>
      <c r="E137" s="221" t="s">
        <v>26</v>
      </c>
      <c r="F137" s="222"/>
      <c r="G137" s="222"/>
      <c r="H137" s="222"/>
      <c r="I137" s="222"/>
      <c r="J137" s="222"/>
      <c r="K137" s="222"/>
      <c r="L137" s="222"/>
      <c r="M137" s="222"/>
      <c r="N137" s="222"/>
      <c r="O137" s="222"/>
      <c r="P137" s="223"/>
      <c r="Q137" s="232" t="s">
        <v>175</v>
      </c>
      <c r="R137" s="232"/>
    </row>
    <row r="138" spans="1:18" ht="15.75">
      <c r="A138" s="231"/>
      <c r="B138" s="231"/>
      <c r="C138" s="231"/>
      <c r="D138" s="231"/>
      <c r="E138" s="21">
        <v>48458</v>
      </c>
      <c r="F138" s="21">
        <v>48488</v>
      </c>
      <c r="G138" s="21">
        <v>48519</v>
      </c>
      <c r="H138" s="21">
        <v>48549</v>
      </c>
      <c r="I138" s="21">
        <v>48580</v>
      </c>
      <c r="J138" s="21">
        <v>48611</v>
      </c>
      <c r="K138" s="21">
        <v>48639</v>
      </c>
      <c r="L138" s="21">
        <v>48670</v>
      </c>
      <c r="M138" s="21">
        <v>48700</v>
      </c>
      <c r="N138" s="21">
        <v>48731</v>
      </c>
      <c r="O138" s="21">
        <v>48761</v>
      </c>
      <c r="P138" s="21">
        <v>48792</v>
      </c>
      <c r="Q138" s="233"/>
      <c r="R138" s="233"/>
    </row>
    <row r="139" spans="1:18" ht="15.75">
      <c r="A139" s="234" t="s">
        <v>176</v>
      </c>
      <c r="B139" s="234"/>
      <c r="C139" s="234"/>
      <c r="D139" s="234"/>
      <c r="E139" s="22">
        <v>56306.31</v>
      </c>
      <c r="F139" s="22">
        <v>56306.31</v>
      </c>
      <c r="G139" s="22">
        <v>56306.31</v>
      </c>
      <c r="H139" s="22">
        <v>56306.31</v>
      </c>
      <c r="I139" s="22">
        <v>56306.31</v>
      </c>
      <c r="J139" s="22">
        <v>56306.31</v>
      </c>
      <c r="K139" s="22">
        <v>56306.31</v>
      </c>
      <c r="L139" s="22">
        <v>56306.31</v>
      </c>
      <c r="M139" s="22">
        <v>56306.31</v>
      </c>
      <c r="N139" s="22">
        <v>56306.31</v>
      </c>
      <c r="O139" s="22">
        <v>56306.31</v>
      </c>
      <c r="P139" s="22">
        <v>56306.31</v>
      </c>
      <c r="Q139" s="114">
        <f aca="true" t="shared" si="21" ref="Q139:Q145">P139+O139+N139+M139+L139+K139+J139+I139+H139+G139+F139+E139</f>
        <v>675675.72</v>
      </c>
      <c r="R139" s="114"/>
    </row>
    <row r="140" spans="1:18" ht="15.75">
      <c r="A140" s="215" t="s">
        <v>178</v>
      </c>
      <c r="B140" s="216"/>
      <c r="C140" s="216"/>
      <c r="D140" s="217"/>
      <c r="E140" s="8">
        <v>858627.96</v>
      </c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213">
        <f t="shared" si="21"/>
        <v>858627.96</v>
      </c>
      <c r="R140" s="214"/>
    </row>
    <row r="141" spans="1:18" ht="15.75">
      <c r="A141" s="215" t="s">
        <v>179</v>
      </c>
      <c r="B141" s="216"/>
      <c r="C141" s="216"/>
      <c r="D141" s="217"/>
      <c r="E141" s="8">
        <v>83185.99</v>
      </c>
      <c r="F141" s="8">
        <v>83185.99</v>
      </c>
      <c r="G141" s="8">
        <v>83185.99</v>
      </c>
      <c r="H141" s="8">
        <v>83185.99</v>
      </c>
      <c r="I141" s="8">
        <v>83185.99</v>
      </c>
      <c r="J141" s="8">
        <v>83185.99</v>
      </c>
      <c r="K141" s="8">
        <v>83185.99</v>
      </c>
      <c r="L141" s="8">
        <v>83185.99</v>
      </c>
      <c r="M141" s="8">
        <v>83185.99</v>
      </c>
      <c r="N141" s="8">
        <v>83185.99</v>
      </c>
      <c r="O141" s="8">
        <v>83185.99</v>
      </c>
      <c r="P141" s="8">
        <v>83185.99</v>
      </c>
      <c r="Q141" s="213">
        <f t="shared" si="21"/>
        <v>998231.88</v>
      </c>
      <c r="R141" s="214"/>
    </row>
    <row r="142" spans="1:18" ht="15.75">
      <c r="A142" s="215" t="s">
        <v>180</v>
      </c>
      <c r="B142" s="216"/>
      <c r="C142" s="216"/>
      <c r="D142" s="217"/>
      <c r="E142" s="8">
        <v>189803.92</v>
      </c>
      <c r="F142" s="8">
        <v>189803.92</v>
      </c>
      <c r="G142" s="8">
        <v>189803.92</v>
      </c>
      <c r="H142" s="8">
        <v>189803.92</v>
      </c>
      <c r="I142" s="8">
        <v>189803.92</v>
      </c>
      <c r="J142" s="8">
        <v>189803.92</v>
      </c>
      <c r="K142" s="8">
        <v>189803.92</v>
      </c>
      <c r="L142" s="8">
        <v>189803.92</v>
      </c>
      <c r="M142" s="8">
        <v>189803.92</v>
      </c>
      <c r="N142" s="8">
        <v>189803.92</v>
      </c>
      <c r="O142" s="8">
        <v>189803.92</v>
      </c>
      <c r="P142" s="8">
        <v>189803.92</v>
      </c>
      <c r="Q142" s="213">
        <f t="shared" si="21"/>
        <v>2277647.0399999996</v>
      </c>
      <c r="R142" s="214"/>
    </row>
    <row r="143" spans="1:18" ht="15.75">
      <c r="A143" s="215" t="s">
        <v>184</v>
      </c>
      <c r="B143" s="216"/>
      <c r="C143" s="216"/>
      <c r="D143" s="217"/>
      <c r="E143" s="8">
        <v>1196383.39</v>
      </c>
      <c r="F143" s="8">
        <v>1196383.39</v>
      </c>
      <c r="G143" s="8">
        <v>1196383.39</v>
      </c>
      <c r="H143" s="8">
        <v>1196383.39</v>
      </c>
      <c r="I143" s="8">
        <v>1196383.39</v>
      </c>
      <c r="J143" s="8">
        <v>1196383.39</v>
      </c>
      <c r="K143" s="8">
        <v>1196383.39</v>
      </c>
      <c r="L143" s="8">
        <v>1196383.39</v>
      </c>
      <c r="M143" s="8">
        <v>1196383.39</v>
      </c>
      <c r="N143" s="8">
        <v>1196383.39</v>
      </c>
      <c r="O143" s="8">
        <v>1196383.39</v>
      </c>
      <c r="P143" s="8">
        <v>1196383.39</v>
      </c>
      <c r="Q143" s="213">
        <f t="shared" si="21"/>
        <v>14356600.680000002</v>
      </c>
      <c r="R143" s="214"/>
    </row>
    <row r="144" spans="1:18" ht="15.75">
      <c r="A144" s="215" t="s">
        <v>185</v>
      </c>
      <c r="B144" s="216"/>
      <c r="C144" s="216"/>
      <c r="D144" s="217"/>
      <c r="E144" s="8">
        <v>110146.97</v>
      </c>
      <c r="F144" s="8">
        <v>110146.97</v>
      </c>
      <c r="G144" s="8">
        <v>110146.97</v>
      </c>
      <c r="H144" s="8">
        <v>110146.97</v>
      </c>
      <c r="I144" s="8">
        <v>110146.97</v>
      </c>
      <c r="J144" s="8">
        <v>110146.97</v>
      </c>
      <c r="K144" s="8">
        <v>110146.97</v>
      </c>
      <c r="L144" s="8">
        <v>110146.97</v>
      </c>
      <c r="M144" s="8">
        <v>110146.97</v>
      </c>
      <c r="N144" s="8">
        <v>110146.97</v>
      </c>
      <c r="O144" s="8">
        <v>110146.97</v>
      </c>
      <c r="P144" s="8">
        <v>110146.97</v>
      </c>
      <c r="Q144" s="213">
        <f t="shared" si="21"/>
        <v>1321763.64</v>
      </c>
      <c r="R144" s="214"/>
    </row>
    <row r="145" spans="1:18" ht="15.75">
      <c r="A145" s="215" t="s">
        <v>186</v>
      </c>
      <c r="B145" s="216"/>
      <c r="C145" s="216"/>
      <c r="D145" s="217"/>
      <c r="E145" s="8">
        <v>94901.96</v>
      </c>
      <c r="F145" s="8">
        <v>94901.96</v>
      </c>
      <c r="G145" s="8">
        <v>94901.96</v>
      </c>
      <c r="H145" s="8">
        <v>94901.96</v>
      </c>
      <c r="I145" s="8">
        <v>94901.96</v>
      </c>
      <c r="J145" s="8">
        <v>94901.96</v>
      </c>
      <c r="K145" s="8">
        <v>94901.96</v>
      </c>
      <c r="L145" s="8">
        <v>94901.96</v>
      </c>
      <c r="M145" s="8">
        <v>94901.96</v>
      </c>
      <c r="N145" s="8">
        <v>94901.96</v>
      </c>
      <c r="O145" s="8">
        <v>94901.96</v>
      </c>
      <c r="P145" s="8">
        <v>94901.96</v>
      </c>
      <c r="Q145" s="213">
        <f t="shared" si="21"/>
        <v>1138823.5199999998</v>
      </c>
      <c r="R145" s="214"/>
    </row>
    <row r="146" spans="1:18" ht="16.5" thickBot="1">
      <c r="A146" s="163" t="s">
        <v>175</v>
      </c>
      <c r="B146" s="164"/>
      <c r="C146" s="164"/>
      <c r="D146" s="165"/>
      <c r="E146" s="9">
        <f aca="true" t="shared" si="22" ref="E146:P146">E145+E144+E143+E142+E141+E140+E139</f>
        <v>2589356.4999999995</v>
      </c>
      <c r="F146" s="9">
        <f t="shared" si="22"/>
        <v>1730728.5399999998</v>
      </c>
      <c r="G146" s="9">
        <f t="shared" si="22"/>
        <v>1730728.5399999998</v>
      </c>
      <c r="H146" s="9">
        <f t="shared" si="22"/>
        <v>1730728.5399999998</v>
      </c>
      <c r="I146" s="9">
        <f t="shared" si="22"/>
        <v>1730728.5399999998</v>
      </c>
      <c r="J146" s="9">
        <f t="shared" si="22"/>
        <v>1730728.5399999998</v>
      </c>
      <c r="K146" s="9">
        <f t="shared" si="22"/>
        <v>1730728.5399999998</v>
      </c>
      <c r="L146" s="9">
        <f t="shared" si="22"/>
        <v>1730728.5399999998</v>
      </c>
      <c r="M146" s="9">
        <f t="shared" si="22"/>
        <v>1730728.5399999998</v>
      </c>
      <c r="N146" s="9">
        <f t="shared" si="22"/>
        <v>1730728.5399999998</v>
      </c>
      <c r="O146" s="9">
        <f t="shared" si="22"/>
        <v>1730728.5399999998</v>
      </c>
      <c r="P146" s="9">
        <f t="shared" si="22"/>
        <v>1730728.5399999998</v>
      </c>
      <c r="Q146" s="213">
        <f>P146+O146+N146+M146+L146+K146+J146+I146+H146+G146+F146+E146</f>
        <v>21627370.439999994</v>
      </c>
      <c r="R146" s="214"/>
    </row>
    <row r="147" spans="1:18" ht="16.5" thickBot="1">
      <c r="A147" s="218" t="s">
        <v>197</v>
      </c>
      <c r="B147" s="219"/>
      <c r="C147" s="219"/>
      <c r="D147" s="219"/>
      <c r="E147" s="219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20"/>
    </row>
    <row r="148" spans="1:18" ht="15.75">
      <c r="A148" s="230" t="s">
        <v>174</v>
      </c>
      <c r="B148" s="230"/>
      <c r="C148" s="230"/>
      <c r="D148" s="230"/>
      <c r="E148" s="221" t="s">
        <v>26</v>
      </c>
      <c r="F148" s="222"/>
      <c r="G148" s="222"/>
      <c r="H148" s="222"/>
      <c r="I148" s="222"/>
      <c r="J148" s="222"/>
      <c r="K148" s="222"/>
      <c r="L148" s="222"/>
      <c r="M148" s="222"/>
      <c r="N148" s="222"/>
      <c r="O148" s="222"/>
      <c r="P148" s="223"/>
      <c r="Q148" s="232" t="s">
        <v>175</v>
      </c>
      <c r="R148" s="232"/>
    </row>
    <row r="149" spans="1:18" ht="15.75">
      <c r="A149" s="231"/>
      <c r="B149" s="231"/>
      <c r="C149" s="231"/>
      <c r="D149" s="231"/>
      <c r="E149" s="21">
        <v>48823</v>
      </c>
      <c r="F149" s="21">
        <v>48853</v>
      </c>
      <c r="G149" s="21">
        <v>48884</v>
      </c>
      <c r="H149" s="21">
        <v>48914</v>
      </c>
      <c r="I149" s="21">
        <v>48945</v>
      </c>
      <c r="J149" s="21">
        <v>48976</v>
      </c>
      <c r="K149" s="21">
        <v>49004</v>
      </c>
      <c r="L149" s="21">
        <v>49035</v>
      </c>
      <c r="M149" s="21">
        <v>49065</v>
      </c>
      <c r="N149" s="21">
        <v>49096</v>
      </c>
      <c r="O149" s="21">
        <v>49126</v>
      </c>
      <c r="P149" s="21">
        <v>49157</v>
      </c>
      <c r="Q149" s="233"/>
      <c r="R149" s="233"/>
    </row>
    <row r="150" spans="1:18" ht="15.75">
      <c r="A150" s="234" t="s">
        <v>176</v>
      </c>
      <c r="B150" s="234"/>
      <c r="C150" s="234"/>
      <c r="D150" s="234"/>
      <c r="E150" s="22">
        <v>56306.31</v>
      </c>
      <c r="F150" s="22">
        <v>56306.31</v>
      </c>
      <c r="G150" s="22">
        <v>56306.31</v>
      </c>
      <c r="H150" s="22">
        <v>56306.31</v>
      </c>
      <c r="I150" s="22">
        <v>56306.31</v>
      </c>
      <c r="J150" s="22">
        <v>56306.31</v>
      </c>
      <c r="K150" s="22">
        <v>56306.31</v>
      </c>
      <c r="L150" s="22">
        <v>56306.31</v>
      </c>
      <c r="M150" s="22">
        <v>56306.31</v>
      </c>
      <c r="N150" s="22">
        <v>56306.31</v>
      </c>
      <c r="O150" s="22">
        <v>56306.31</v>
      </c>
      <c r="P150" s="22">
        <v>56306.31</v>
      </c>
      <c r="Q150" s="114">
        <f aca="true" t="shared" si="23" ref="Q150:Q156">P150+O150+N150+M150+L150+K150+J150+I150+H150+G150+F150+E150</f>
        <v>675675.72</v>
      </c>
      <c r="R150" s="114"/>
    </row>
    <row r="151" spans="1:18" ht="15.75">
      <c r="A151" s="215" t="s">
        <v>179</v>
      </c>
      <c r="B151" s="216"/>
      <c r="C151" s="216"/>
      <c r="D151" s="217"/>
      <c r="E151" s="8">
        <v>83185.99</v>
      </c>
      <c r="F151" s="8">
        <v>83185.99</v>
      </c>
      <c r="G151" s="8">
        <v>83185.99</v>
      </c>
      <c r="H151" s="8">
        <v>83185.99</v>
      </c>
      <c r="I151" s="8">
        <v>83185.99</v>
      </c>
      <c r="J151" s="8">
        <v>83185.99</v>
      </c>
      <c r="K151" s="8">
        <v>83185.99</v>
      </c>
      <c r="L151" s="8">
        <v>83185.99</v>
      </c>
      <c r="M151" s="8">
        <v>83185.99</v>
      </c>
      <c r="N151" s="8">
        <v>83185.99</v>
      </c>
      <c r="O151" s="8">
        <v>83185.99</v>
      </c>
      <c r="P151" s="8">
        <v>83185.99</v>
      </c>
      <c r="Q151" s="213">
        <f t="shared" si="23"/>
        <v>998231.88</v>
      </c>
      <c r="R151" s="214"/>
    </row>
    <row r="152" spans="1:18" ht="15.75">
      <c r="A152" s="215" t="s">
        <v>180</v>
      </c>
      <c r="B152" s="216"/>
      <c r="C152" s="216"/>
      <c r="D152" s="217"/>
      <c r="E152" s="8">
        <v>189803.92</v>
      </c>
      <c r="F152" s="8">
        <v>189803.92</v>
      </c>
      <c r="G152" s="8">
        <v>189803.92</v>
      </c>
      <c r="H152" s="8">
        <v>189803.92</v>
      </c>
      <c r="I152" s="8">
        <v>189803.92</v>
      </c>
      <c r="J152" s="8">
        <v>189803.92</v>
      </c>
      <c r="K152" s="8">
        <v>189803.92</v>
      </c>
      <c r="L152" s="8">
        <v>189803.92</v>
      </c>
      <c r="M152" s="8">
        <v>189803.92</v>
      </c>
      <c r="N152" s="8">
        <v>189803.92</v>
      </c>
      <c r="O152" s="8">
        <v>189803.92</v>
      </c>
      <c r="P152" s="8">
        <v>189803.92</v>
      </c>
      <c r="Q152" s="213">
        <f t="shared" si="23"/>
        <v>2277647.0399999996</v>
      </c>
      <c r="R152" s="214"/>
    </row>
    <row r="153" spans="1:18" ht="15.75">
      <c r="A153" s="215" t="s">
        <v>184</v>
      </c>
      <c r="B153" s="216"/>
      <c r="C153" s="216"/>
      <c r="D153" s="217"/>
      <c r="E153" s="8">
        <v>1196383.39</v>
      </c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213">
        <f t="shared" si="23"/>
        <v>1196383.39</v>
      </c>
      <c r="R153" s="214"/>
    </row>
    <row r="154" spans="1:18" ht="15.75">
      <c r="A154" s="215" t="s">
        <v>185</v>
      </c>
      <c r="B154" s="216"/>
      <c r="C154" s="216"/>
      <c r="D154" s="217"/>
      <c r="E154" s="8">
        <v>110146.97</v>
      </c>
      <c r="F154" s="8">
        <v>110146.97</v>
      </c>
      <c r="G154" s="8">
        <v>110146.97</v>
      </c>
      <c r="H154" s="8">
        <v>110146.97</v>
      </c>
      <c r="I154" s="8">
        <v>110146.97</v>
      </c>
      <c r="J154" s="8">
        <v>110146.97</v>
      </c>
      <c r="K154" s="8">
        <v>110146.97</v>
      </c>
      <c r="L154" s="8">
        <v>110146.97</v>
      </c>
      <c r="M154" s="8">
        <v>110146.97</v>
      </c>
      <c r="N154" s="8">
        <v>110146.97</v>
      </c>
      <c r="O154" s="8">
        <v>110146.97</v>
      </c>
      <c r="P154" s="8">
        <v>110146.97</v>
      </c>
      <c r="Q154" s="213">
        <f t="shared" si="23"/>
        <v>1321763.64</v>
      </c>
      <c r="R154" s="214"/>
    </row>
    <row r="155" spans="1:18" ht="15.75">
      <c r="A155" s="215" t="s">
        <v>186</v>
      </c>
      <c r="B155" s="216"/>
      <c r="C155" s="216"/>
      <c r="D155" s="217"/>
      <c r="E155" s="8">
        <v>94901.96</v>
      </c>
      <c r="F155" s="8">
        <v>94901.96</v>
      </c>
      <c r="G155" s="8">
        <v>94901.96</v>
      </c>
      <c r="H155" s="8">
        <v>94901.96</v>
      </c>
      <c r="I155" s="8">
        <v>94901.96</v>
      </c>
      <c r="J155" s="8">
        <v>94901.96</v>
      </c>
      <c r="K155" s="8">
        <v>94901.96</v>
      </c>
      <c r="L155" s="8">
        <v>94901.96</v>
      </c>
      <c r="M155" s="8">
        <v>94901.96</v>
      </c>
      <c r="N155" s="8">
        <v>94901.96</v>
      </c>
      <c r="O155" s="8">
        <v>94901.96</v>
      </c>
      <c r="P155" s="8">
        <v>94901.96</v>
      </c>
      <c r="Q155" s="213">
        <f t="shared" si="23"/>
        <v>1138823.5199999998</v>
      </c>
      <c r="R155" s="214"/>
    </row>
    <row r="156" spans="1:18" ht="16.5" thickBot="1">
      <c r="A156" s="163" t="s">
        <v>175</v>
      </c>
      <c r="B156" s="164"/>
      <c r="C156" s="164"/>
      <c r="D156" s="165"/>
      <c r="E156" s="9">
        <f aca="true" t="shared" si="24" ref="E156:P156">E155+E154+E153+E152+E151+E150</f>
        <v>1730728.5399999998</v>
      </c>
      <c r="F156" s="9">
        <f t="shared" si="24"/>
        <v>534345.1499999999</v>
      </c>
      <c r="G156" s="9">
        <f t="shared" si="24"/>
        <v>534345.1499999999</v>
      </c>
      <c r="H156" s="9">
        <f t="shared" si="24"/>
        <v>534345.1499999999</v>
      </c>
      <c r="I156" s="9">
        <f t="shared" si="24"/>
        <v>534345.1499999999</v>
      </c>
      <c r="J156" s="9">
        <f t="shared" si="24"/>
        <v>534345.1499999999</v>
      </c>
      <c r="K156" s="9">
        <f t="shared" si="24"/>
        <v>534345.1499999999</v>
      </c>
      <c r="L156" s="9">
        <f t="shared" si="24"/>
        <v>534345.1499999999</v>
      </c>
      <c r="M156" s="9">
        <f t="shared" si="24"/>
        <v>534345.1499999999</v>
      </c>
      <c r="N156" s="9">
        <f t="shared" si="24"/>
        <v>534345.1499999999</v>
      </c>
      <c r="O156" s="9">
        <f t="shared" si="24"/>
        <v>534345.1499999999</v>
      </c>
      <c r="P156" s="9">
        <f t="shared" si="24"/>
        <v>534345.1499999999</v>
      </c>
      <c r="Q156" s="213">
        <f t="shared" si="23"/>
        <v>7608525.19</v>
      </c>
      <c r="R156" s="214"/>
    </row>
    <row r="157" spans="1:18" ht="16.5" thickBot="1">
      <c r="A157" s="218" t="s">
        <v>198</v>
      </c>
      <c r="B157" s="219"/>
      <c r="C157" s="219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20"/>
    </row>
    <row r="158" spans="1:18" ht="15.75">
      <c r="A158" s="230" t="s">
        <v>174</v>
      </c>
      <c r="B158" s="230"/>
      <c r="C158" s="230"/>
      <c r="D158" s="230"/>
      <c r="E158" s="221" t="s">
        <v>26</v>
      </c>
      <c r="F158" s="222"/>
      <c r="G158" s="222"/>
      <c r="H158" s="222"/>
      <c r="I158" s="222"/>
      <c r="J158" s="222"/>
      <c r="K158" s="222"/>
      <c r="L158" s="222"/>
      <c r="M158" s="222"/>
      <c r="N158" s="222"/>
      <c r="O158" s="222"/>
      <c r="P158" s="223"/>
      <c r="Q158" s="232" t="s">
        <v>175</v>
      </c>
      <c r="R158" s="232"/>
    </row>
    <row r="159" spans="1:18" ht="15.75">
      <c r="A159" s="231"/>
      <c r="B159" s="231"/>
      <c r="C159" s="231"/>
      <c r="D159" s="231"/>
      <c r="E159" s="21">
        <v>49188</v>
      </c>
      <c r="F159" s="21">
        <v>49218</v>
      </c>
      <c r="G159" s="21">
        <v>49249</v>
      </c>
      <c r="H159" s="21">
        <v>49279</v>
      </c>
      <c r="I159" s="21">
        <v>49310</v>
      </c>
      <c r="J159" s="21">
        <v>49341</v>
      </c>
      <c r="K159" s="21">
        <v>49369</v>
      </c>
      <c r="L159" s="21">
        <v>49400</v>
      </c>
      <c r="M159" s="21">
        <v>49430</v>
      </c>
      <c r="N159" s="21">
        <v>49461</v>
      </c>
      <c r="O159" s="21">
        <v>49491</v>
      </c>
      <c r="P159" s="21">
        <v>49522</v>
      </c>
      <c r="Q159" s="233"/>
      <c r="R159" s="233"/>
    </row>
    <row r="160" spans="1:18" ht="15.75">
      <c r="A160" s="234" t="s">
        <v>176</v>
      </c>
      <c r="B160" s="234"/>
      <c r="C160" s="234"/>
      <c r="D160" s="234"/>
      <c r="E160" s="22">
        <v>56306.31</v>
      </c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114">
        <f aca="true" t="shared" si="25" ref="Q160:Q165">P160+O160+N160+M160+L160+K160+J160+I160+H160+G160+F160+E160</f>
        <v>56306.31</v>
      </c>
      <c r="R160" s="114"/>
    </row>
    <row r="161" spans="1:18" ht="15.75">
      <c r="A161" s="215" t="s">
        <v>179</v>
      </c>
      <c r="B161" s="216"/>
      <c r="C161" s="216"/>
      <c r="D161" s="217"/>
      <c r="E161" s="8">
        <v>83185.99</v>
      </c>
      <c r="F161" s="8">
        <v>83185.99</v>
      </c>
      <c r="G161" s="8">
        <v>83185.99</v>
      </c>
      <c r="H161" s="8">
        <v>83185.99</v>
      </c>
      <c r="I161" s="8">
        <v>83185.99</v>
      </c>
      <c r="J161" s="8">
        <v>83185.99</v>
      </c>
      <c r="K161" s="8">
        <v>83185.99</v>
      </c>
      <c r="L161" s="8">
        <v>83185.99</v>
      </c>
      <c r="M161" s="8">
        <v>83185.99</v>
      </c>
      <c r="N161" s="8">
        <v>83185.99</v>
      </c>
      <c r="O161" s="8">
        <v>83185.99</v>
      </c>
      <c r="P161" s="8">
        <v>83185.99</v>
      </c>
      <c r="Q161" s="213">
        <f t="shared" si="25"/>
        <v>998231.88</v>
      </c>
      <c r="R161" s="214"/>
    </row>
    <row r="162" spans="1:18" ht="15.75">
      <c r="A162" s="215" t="s">
        <v>180</v>
      </c>
      <c r="B162" s="216"/>
      <c r="C162" s="216"/>
      <c r="D162" s="217"/>
      <c r="E162" s="8">
        <v>189803.92</v>
      </c>
      <c r="F162" s="8">
        <v>189803.92</v>
      </c>
      <c r="G162" s="8">
        <v>189803.92</v>
      </c>
      <c r="H162" s="8">
        <v>189803.92</v>
      </c>
      <c r="I162" s="8">
        <v>189803.92</v>
      </c>
      <c r="J162" s="8">
        <v>189803.92</v>
      </c>
      <c r="K162" s="8">
        <v>189803.92</v>
      </c>
      <c r="L162" s="8">
        <v>189803.92</v>
      </c>
      <c r="M162" s="8">
        <v>189803.92</v>
      </c>
      <c r="N162" s="8">
        <v>189803.92</v>
      </c>
      <c r="O162" s="8">
        <v>189803.92</v>
      </c>
      <c r="P162" s="8">
        <v>189803.92</v>
      </c>
      <c r="Q162" s="213">
        <f t="shared" si="25"/>
        <v>2277647.0399999996</v>
      </c>
      <c r="R162" s="214"/>
    </row>
    <row r="163" spans="1:18" ht="15.75">
      <c r="A163" s="215" t="s">
        <v>185</v>
      </c>
      <c r="B163" s="216"/>
      <c r="C163" s="216"/>
      <c r="D163" s="217"/>
      <c r="E163" s="8">
        <v>110146.97</v>
      </c>
      <c r="F163" s="8">
        <v>110146.97</v>
      </c>
      <c r="G163" s="8">
        <v>110146.97</v>
      </c>
      <c r="H163" s="8">
        <v>110146.97</v>
      </c>
      <c r="I163" s="8">
        <v>110146.97</v>
      </c>
      <c r="J163" s="8">
        <v>110146.97</v>
      </c>
      <c r="K163" s="8">
        <v>110146.97</v>
      </c>
      <c r="L163" s="8">
        <v>110146.97</v>
      </c>
      <c r="M163" s="8">
        <v>110146.97</v>
      </c>
      <c r="N163" s="8">
        <v>110146.97</v>
      </c>
      <c r="O163" s="8">
        <v>110146.97</v>
      </c>
      <c r="P163" s="8">
        <v>110146.97</v>
      </c>
      <c r="Q163" s="213">
        <f t="shared" si="25"/>
        <v>1321763.64</v>
      </c>
      <c r="R163" s="214"/>
    </row>
    <row r="164" spans="1:18" ht="15.75">
      <c r="A164" s="215" t="s">
        <v>186</v>
      </c>
      <c r="B164" s="216"/>
      <c r="C164" s="216"/>
      <c r="D164" s="217"/>
      <c r="E164" s="8">
        <v>94901.96</v>
      </c>
      <c r="F164" s="8">
        <v>94901.96</v>
      </c>
      <c r="G164" s="8">
        <v>94901.96</v>
      </c>
      <c r="H164" s="8">
        <v>94901.96</v>
      </c>
      <c r="I164" s="8">
        <v>94901.96</v>
      </c>
      <c r="J164" s="8">
        <v>94901.96</v>
      </c>
      <c r="K164" s="8">
        <v>94901.96</v>
      </c>
      <c r="L164" s="8">
        <v>94901.96</v>
      </c>
      <c r="M164" s="8">
        <v>94901.96</v>
      </c>
      <c r="N164" s="8">
        <v>94901.96</v>
      </c>
      <c r="O164" s="8">
        <v>94901.96</v>
      </c>
      <c r="P164" s="8">
        <v>94901.96</v>
      </c>
      <c r="Q164" s="213">
        <f t="shared" si="25"/>
        <v>1138823.5199999998</v>
      </c>
      <c r="R164" s="214"/>
    </row>
    <row r="165" spans="1:18" ht="16.5" thickBot="1">
      <c r="A165" s="163" t="s">
        <v>175</v>
      </c>
      <c r="B165" s="164"/>
      <c r="C165" s="164"/>
      <c r="D165" s="165"/>
      <c r="E165" s="9">
        <f aca="true" t="shared" si="26" ref="E165:P165">E164+E163+E162+E161+E160</f>
        <v>534345.1499999999</v>
      </c>
      <c r="F165" s="9">
        <f t="shared" si="26"/>
        <v>478038.83999999997</v>
      </c>
      <c r="G165" s="9">
        <f t="shared" si="26"/>
        <v>478038.83999999997</v>
      </c>
      <c r="H165" s="9">
        <f t="shared" si="26"/>
        <v>478038.83999999997</v>
      </c>
      <c r="I165" s="9">
        <f t="shared" si="26"/>
        <v>478038.83999999997</v>
      </c>
      <c r="J165" s="9">
        <f t="shared" si="26"/>
        <v>478038.83999999997</v>
      </c>
      <c r="K165" s="9">
        <f t="shared" si="26"/>
        <v>478038.83999999997</v>
      </c>
      <c r="L165" s="9">
        <f t="shared" si="26"/>
        <v>478038.83999999997</v>
      </c>
      <c r="M165" s="9">
        <f t="shared" si="26"/>
        <v>478038.83999999997</v>
      </c>
      <c r="N165" s="9">
        <f t="shared" si="26"/>
        <v>478038.83999999997</v>
      </c>
      <c r="O165" s="9">
        <f t="shared" si="26"/>
        <v>478038.83999999997</v>
      </c>
      <c r="P165" s="9">
        <f t="shared" si="26"/>
        <v>478038.83999999997</v>
      </c>
      <c r="Q165" s="213">
        <f t="shared" si="25"/>
        <v>5792772.389999999</v>
      </c>
      <c r="R165" s="214"/>
    </row>
    <row r="166" spans="1:18" ht="16.5" thickBot="1">
      <c r="A166" s="218" t="s">
        <v>203</v>
      </c>
      <c r="B166" s="219"/>
      <c r="C166" s="219"/>
      <c r="D166" s="219"/>
      <c r="E166" s="219"/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20"/>
    </row>
    <row r="167" spans="1:18" ht="15.75">
      <c r="A167" s="224" t="s">
        <v>174</v>
      </c>
      <c r="B167" s="225"/>
      <c r="C167" s="225"/>
      <c r="D167" s="226"/>
      <c r="E167" s="221" t="s">
        <v>26</v>
      </c>
      <c r="F167" s="222"/>
      <c r="G167" s="222"/>
      <c r="H167" s="222"/>
      <c r="I167" s="222"/>
      <c r="J167" s="222"/>
      <c r="K167" s="222"/>
      <c r="L167" s="222"/>
      <c r="M167" s="222"/>
      <c r="N167" s="222"/>
      <c r="O167" s="222"/>
      <c r="P167" s="223"/>
      <c r="Q167" s="209" t="s">
        <v>175</v>
      </c>
      <c r="R167" s="210"/>
    </row>
    <row r="168" spans="1:18" ht="15.75">
      <c r="A168" s="227"/>
      <c r="B168" s="228"/>
      <c r="C168" s="228"/>
      <c r="D168" s="229"/>
      <c r="E168" s="21">
        <v>49553</v>
      </c>
      <c r="F168" s="21">
        <v>49583</v>
      </c>
      <c r="G168" s="21">
        <v>49614</v>
      </c>
      <c r="H168" s="21">
        <v>49644</v>
      </c>
      <c r="I168" s="21">
        <v>49675</v>
      </c>
      <c r="J168" s="21">
        <v>49706</v>
      </c>
      <c r="K168" s="21">
        <v>49735</v>
      </c>
      <c r="L168" s="21">
        <v>49766</v>
      </c>
      <c r="M168" s="21">
        <v>49796</v>
      </c>
      <c r="N168" s="21">
        <v>49827</v>
      </c>
      <c r="O168" s="21">
        <v>49857</v>
      </c>
      <c r="P168" s="21">
        <v>49888</v>
      </c>
      <c r="Q168" s="211"/>
      <c r="R168" s="212"/>
    </row>
    <row r="169" spans="1:18" ht="15.75">
      <c r="A169" s="215" t="s">
        <v>179</v>
      </c>
      <c r="B169" s="216"/>
      <c r="C169" s="216"/>
      <c r="D169" s="217"/>
      <c r="E169" s="8">
        <v>83185.99</v>
      </c>
      <c r="F169" s="8">
        <v>83185.99</v>
      </c>
      <c r="G169" s="8">
        <v>83185.99</v>
      </c>
      <c r="H169" s="8">
        <v>83185.99</v>
      </c>
      <c r="I169" s="8">
        <v>83185.99</v>
      </c>
      <c r="J169" s="8">
        <v>83185.99</v>
      </c>
      <c r="K169" s="8">
        <v>83185.99</v>
      </c>
      <c r="L169" s="8">
        <v>83185.99</v>
      </c>
      <c r="M169" s="8">
        <v>83185.99</v>
      </c>
      <c r="N169" s="8">
        <v>83185.99</v>
      </c>
      <c r="O169" s="8">
        <v>83185.99</v>
      </c>
      <c r="P169" s="8">
        <v>83185.99</v>
      </c>
      <c r="Q169" s="213">
        <f>P169+O169+N169+M169+L169+K169+J169+I169+H169+G169+F169+E169</f>
        <v>998231.88</v>
      </c>
      <c r="R169" s="214"/>
    </row>
    <row r="170" spans="1:18" ht="15.75">
      <c r="A170" s="215" t="s">
        <v>180</v>
      </c>
      <c r="B170" s="216"/>
      <c r="C170" s="216"/>
      <c r="D170" s="217"/>
      <c r="E170" s="8">
        <v>189803.92</v>
      </c>
      <c r="F170" s="8">
        <v>189803.92</v>
      </c>
      <c r="G170" s="8">
        <v>189803.92</v>
      </c>
      <c r="H170" s="8">
        <v>189803.92</v>
      </c>
      <c r="I170" s="8">
        <v>189803.92</v>
      </c>
      <c r="J170" s="8">
        <v>189803.92</v>
      </c>
      <c r="K170" s="8">
        <v>189803.92</v>
      </c>
      <c r="L170" s="8">
        <v>189803.92</v>
      </c>
      <c r="M170" s="8">
        <v>189803.92</v>
      </c>
      <c r="N170" s="8">
        <v>189803.92</v>
      </c>
      <c r="O170" s="8">
        <v>189803.92</v>
      </c>
      <c r="P170" s="8">
        <v>189803.92</v>
      </c>
      <c r="Q170" s="213">
        <f>P170+O170+N170+M170+L170+K170+J170+I170+H170+G170+F170+E170</f>
        <v>2277647.0399999996</v>
      </c>
      <c r="R170" s="214"/>
    </row>
    <row r="171" spans="1:18" ht="15.75">
      <c r="A171" s="215" t="s">
        <v>185</v>
      </c>
      <c r="B171" s="216"/>
      <c r="C171" s="216"/>
      <c r="D171" s="217"/>
      <c r="E171" s="8">
        <v>110146.97</v>
      </c>
      <c r="F171" s="8">
        <v>110146.97</v>
      </c>
      <c r="G171" s="8">
        <v>110146.97</v>
      </c>
      <c r="H171" s="8">
        <v>110146.97</v>
      </c>
      <c r="I171" s="8">
        <v>110146.97</v>
      </c>
      <c r="J171" s="8">
        <v>110146.97</v>
      </c>
      <c r="K171" s="8">
        <v>110146.97</v>
      </c>
      <c r="L171" s="8">
        <v>110146.97</v>
      </c>
      <c r="M171" s="8">
        <v>110146.97</v>
      </c>
      <c r="N171" s="8">
        <v>110146.97</v>
      </c>
      <c r="O171" s="8">
        <v>110146.97</v>
      </c>
      <c r="P171" s="8">
        <v>110146.97</v>
      </c>
      <c r="Q171" s="213">
        <f>P171+O171+N171+M171+L171+K171+J171+I171+H171+G171+F171+E171</f>
        <v>1321763.64</v>
      </c>
      <c r="R171" s="214"/>
    </row>
    <row r="172" spans="1:18" ht="15.75">
      <c r="A172" s="215" t="s">
        <v>186</v>
      </c>
      <c r="B172" s="216"/>
      <c r="C172" s="216"/>
      <c r="D172" s="217"/>
      <c r="E172" s="8">
        <v>94901.96</v>
      </c>
      <c r="F172" s="8">
        <v>94901.96</v>
      </c>
      <c r="G172" s="8">
        <v>94901.96</v>
      </c>
      <c r="H172" s="8">
        <v>94901.96</v>
      </c>
      <c r="I172" s="8">
        <v>94901.96</v>
      </c>
      <c r="J172" s="8">
        <v>94901.96</v>
      </c>
      <c r="K172" s="8">
        <v>94901.96</v>
      </c>
      <c r="L172" s="8">
        <v>94901.96</v>
      </c>
      <c r="M172" s="8">
        <v>94901.96</v>
      </c>
      <c r="N172" s="8">
        <v>94901.96</v>
      </c>
      <c r="O172" s="8">
        <v>94901.96</v>
      </c>
      <c r="P172" s="8">
        <v>94901.96</v>
      </c>
      <c r="Q172" s="213">
        <f>P172+O172+N172+M172+L172+K172+J172+I172+H172+G172+F172+E172</f>
        <v>1138823.5199999998</v>
      </c>
      <c r="R172" s="214"/>
    </row>
    <row r="173" spans="1:18" ht="15.75">
      <c r="A173" s="163" t="s">
        <v>175</v>
      </c>
      <c r="B173" s="164"/>
      <c r="C173" s="164"/>
      <c r="D173" s="165"/>
      <c r="E173" s="9">
        <f aca="true" t="shared" si="27" ref="E173:P173">E172+E171+E170+E169</f>
        <v>478038.83999999997</v>
      </c>
      <c r="F173" s="9">
        <f t="shared" si="27"/>
        <v>478038.83999999997</v>
      </c>
      <c r="G173" s="9">
        <f t="shared" si="27"/>
        <v>478038.83999999997</v>
      </c>
      <c r="H173" s="9">
        <f t="shared" si="27"/>
        <v>478038.83999999997</v>
      </c>
      <c r="I173" s="9">
        <f t="shared" si="27"/>
        <v>478038.83999999997</v>
      </c>
      <c r="J173" s="9">
        <f t="shared" si="27"/>
        <v>478038.83999999997</v>
      </c>
      <c r="K173" s="9">
        <f t="shared" si="27"/>
        <v>478038.83999999997</v>
      </c>
      <c r="L173" s="9">
        <f t="shared" si="27"/>
        <v>478038.83999999997</v>
      </c>
      <c r="M173" s="9">
        <f t="shared" si="27"/>
        <v>478038.83999999997</v>
      </c>
      <c r="N173" s="9">
        <f t="shared" si="27"/>
        <v>478038.83999999997</v>
      </c>
      <c r="O173" s="9">
        <f t="shared" si="27"/>
        <v>478038.83999999997</v>
      </c>
      <c r="P173" s="9">
        <f t="shared" si="27"/>
        <v>478038.83999999997</v>
      </c>
      <c r="Q173" s="213">
        <f>P173+O173+N173+M173+L173+K173+J173+I173+H173+G173+F173+E173</f>
        <v>5736466.079999999</v>
      </c>
      <c r="R173" s="214"/>
    </row>
  </sheetData>
  <sheetProtection/>
  <mergeCells count="315">
    <mergeCell ref="A82:D82"/>
    <mergeCell ref="Q82:R82"/>
    <mergeCell ref="A81:D81"/>
    <mergeCell ref="Q85:R85"/>
    <mergeCell ref="A59:D60"/>
    <mergeCell ref="Q59:R60"/>
    <mergeCell ref="Q53:R53"/>
    <mergeCell ref="A53:D53"/>
    <mergeCell ref="Q131:R131"/>
    <mergeCell ref="Q77:R77"/>
    <mergeCell ref="A78:D78"/>
    <mergeCell ref="Q78:R78"/>
    <mergeCell ref="A79:D79"/>
    <mergeCell ref="Q79:R79"/>
    <mergeCell ref="A10:D10"/>
    <mergeCell ref="Q10:R10"/>
    <mergeCell ref="E8:P8"/>
    <mergeCell ref="Q8:R9"/>
    <mergeCell ref="A62:D62"/>
    <mergeCell ref="Q62:R62"/>
    <mergeCell ref="Q48:R48"/>
    <mergeCell ref="A61:D61"/>
    <mergeCell ref="Q61:R61"/>
    <mergeCell ref="A57:D57"/>
    <mergeCell ref="Q57:R57"/>
    <mergeCell ref="A58:R58"/>
    <mergeCell ref="A12:D12"/>
    <mergeCell ref="Q12:R12"/>
    <mergeCell ref="A15:D15"/>
    <mergeCell ref="Q15:R15"/>
    <mergeCell ref="A13:D13"/>
    <mergeCell ref="Q13:R13"/>
    <mergeCell ref="A51:D51"/>
    <mergeCell ref="Q49:R49"/>
    <mergeCell ref="Q51:R51"/>
    <mergeCell ref="A7:R7"/>
    <mergeCell ref="A8:D9"/>
    <mergeCell ref="A2:R2"/>
    <mergeCell ref="A3:D4"/>
    <mergeCell ref="E3:P3"/>
    <mergeCell ref="Q3:R4"/>
    <mergeCell ref="A5:D5"/>
    <mergeCell ref="A11:D11"/>
    <mergeCell ref="Q11:R11"/>
    <mergeCell ref="Q5:R5"/>
    <mergeCell ref="A6:D6"/>
    <mergeCell ref="Q6:R6"/>
    <mergeCell ref="A14:D14"/>
    <mergeCell ref="Q14:R14"/>
    <mergeCell ref="A23:D23"/>
    <mergeCell ref="Q23:R23"/>
    <mergeCell ref="A20:D20"/>
    <mergeCell ref="Q20:R20"/>
    <mergeCell ref="A21:D21"/>
    <mergeCell ref="Q21:R21"/>
    <mergeCell ref="A16:D16"/>
    <mergeCell ref="Q16:R16"/>
    <mergeCell ref="A17:R17"/>
    <mergeCell ref="A18:D19"/>
    <mergeCell ref="E18:P18"/>
    <mergeCell ref="Q18:R19"/>
    <mergeCell ref="A22:D22"/>
    <mergeCell ref="Q22:R22"/>
    <mergeCell ref="A26:D26"/>
    <mergeCell ref="Q26:R26"/>
    <mergeCell ref="A24:D24"/>
    <mergeCell ref="Q24:R24"/>
    <mergeCell ref="A25:D25"/>
    <mergeCell ref="Q25:R25"/>
    <mergeCell ref="A28:D28"/>
    <mergeCell ref="Q28:R28"/>
    <mergeCell ref="A39:D39"/>
    <mergeCell ref="Q39:R39"/>
    <mergeCell ref="A30:D30"/>
    <mergeCell ref="Q30:R30"/>
    <mergeCell ref="A34:D34"/>
    <mergeCell ref="Q34:R34"/>
    <mergeCell ref="A29:D29"/>
    <mergeCell ref="Q29:R29"/>
    <mergeCell ref="A42:D42"/>
    <mergeCell ref="Q42:R42"/>
    <mergeCell ref="Q40:R40"/>
    <mergeCell ref="A37:D37"/>
    <mergeCell ref="A38:D38"/>
    <mergeCell ref="Q38:R38"/>
    <mergeCell ref="Q37:R37"/>
    <mergeCell ref="A41:D41"/>
    <mergeCell ref="Q41:R41"/>
    <mergeCell ref="A64:D64"/>
    <mergeCell ref="Q64:R64"/>
    <mergeCell ref="A27:D27"/>
    <mergeCell ref="Q27:R27"/>
    <mergeCell ref="A56:D56"/>
    <mergeCell ref="Q56:R56"/>
    <mergeCell ref="Q55:R55"/>
    <mergeCell ref="A55:D55"/>
    <mergeCell ref="Q54:R54"/>
    <mergeCell ref="A54:D54"/>
    <mergeCell ref="E73:P73"/>
    <mergeCell ref="Q71:R71"/>
    <mergeCell ref="A72:R72"/>
    <mergeCell ref="A69:D69"/>
    <mergeCell ref="Q69:R69"/>
    <mergeCell ref="A70:D70"/>
    <mergeCell ref="Q70:R70"/>
    <mergeCell ref="A68:D68"/>
    <mergeCell ref="Q68:R68"/>
    <mergeCell ref="A63:D63"/>
    <mergeCell ref="Q63:R63"/>
    <mergeCell ref="A67:D67"/>
    <mergeCell ref="Q67:R67"/>
    <mergeCell ref="Q66:R66"/>
    <mergeCell ref="A66:D66"/>
    <mergeCell ref="A65:D65"/>
    <mergeCell ref="Q65:R65"/>
    <mergeCell ref="E59:P59"/>
    <mergeCell ref="A45:R45"/>
    <mergeCell ref="A1:R1"/>
    <mergeCell ref="A52:D52"/>
    <mergeCell ref="Q52:R52"/>
    <mergeCell ref="A50:D50"/>
    <mergeCell ref="Q50:R50"/>
    <mergeCell ref="A31:R31"/>
    <mergeCell ref="A32:D33"/>
    <mergeCell ref="E32:P32"/>
    <mergeCell ref="Q32:R33"/>
    <mergeCell ref="A35:D35"/>
    <mergeCell ref="Q35:R35"/>
    <mergeCell ref="A40:D40"/>
    <mergeCell ref="A36:D36"/>
    <mergeCell ref="Q36:R36"/>
    <mergeCell ref="A43:D43"/>
    <mergeCell ref="Q43:R43"/>
    <mergeCell ref="A49:D49"/>
    <mergeCell ref="A44:D44"/>
    <mergeCell ref="Q44:R44"/>
    <mergeCell ref="Q46:R47"/>
    <mergeCell ref="A46:D47"/>
    <mergeCell ref="A48:D48"/>
    <mergeCell ref="E46:P46"/>
    <mergeCell ref="A77:D77"/>
    <mergeCell ref="A71:D71"/>
    <mergeCell ref="A80:D80"/>
    <mergeCell ref="Q80:R80"/>
    <mergeCell ref="A75:D75"/>
    <mergeCell ref="A73:D74"/>
    <mergeCell ref="Q73:R74"/>
    <mergeCell ref="Q75:R75"/>
    <mergeCell ref="A76:D76"/>
    <mergeCell ref="Q76:R76"/>
    <mergeCell ref="Q113:R113"/>
    <mergeCell ref="A113:D113"/>
    <mergeCell ref="Q84:R84"/>
    <mergeCell ref="A97:D97"/>
    <mergeCell ref="Q96:R96"/>
    <mergeCell ref="A96:D96"/>
    <mergeCell ref="A89:D89"/>
    <mergeCell ref="A84:D84"/>
    <mergeCell ref="A94:D94"/>
    <mergeCell ref="A91:D91"/>
    <mergeCell ref="Q99:R99"/>
    <mergeCell ref="Q81:R81"/>
    <mergeCell ref="A83:D83"/>
    <mergeCell ref="Q83:R83"/>
    <mergeCell ref="Q91:R91"/>
    <mergeCell ref="Q94:R94"/>
    <mergeCell ref="A90:D90"/>
    <mergeCell ref="Q90:R90"/>
    <mergeCell ref="E87:P87"/>
    <mergeCell ref="A85:D85"/>
    <mergeCell ref="A118:D118"/>
    <mergeCell ref="Q97:R97"/>
    <mergeCell ref="Q98:R98"/>
    <mergeCell ref="A130:D130"/>
    <mergeCell ref="Q130:R130"/>
    <mergeCell ref="A114:R114"/>
    <mergeCell ref="A115:D116"/>
    <mergeCell ref="E115:P115"/>
    <mergeCell ref="Q115:R116"/>
    <mergeCell ref="A99:D99"/>
    <mergeCell ref="Q93:R93"/>
    <mergeCell ref="A121:D121"/>
    <mergeCell ref="Q121:R121"/>
    <mergeCell ref="Q109:R109"/>
    <mergeCell ref="A108:D108"/>
    <mergeCell ref="Q112:R112"/>
    <mergeCell ref="A112:D112"/>
    <mergeCell ref="Q111:R111"/>
    <mergeCell ref="A117:D117"/>
    <mergeCell ref="Q117:R117"/>
    <mergeCell ref="E101:P101"/>
    <mergeCell ref="A86:R86"/>
    <mergeCell ref="A87:D88"/>
    <mergeCell ref="Q87:R88"/>
    <mergeCell ref="A100:R100"/>
    <mergeCell ref="Q95:R95"/>
    <mergeCell ref="Q89:R89"/>
    <mergeCell ref="A95:D95"/>
    <mergeCell ref="A92:D92"/>
    <mergeCell ref="Q92:R92"/>
    <mergeCell ref="A93:D93"/>
    <mergeCell ref="A98:D98"/>
    <mergeCell ref="A107:D107"/>
    <mergeCell ref="Q107:R107"/>
    <mergeCell ref="Q104:R104"/>
    <mergeCell ref="A104:D104"/>
    <mergeCell ref="A103:D103"/>
    <mergeCell ref="Q103:R103"/>
    <mergeCell ref="Q101:R102"/>
    <mergeCell ref="A101:D102"/>
    <mergeCell ref="A111:D111"/>
    <mergeCell ref="Q110:R110"/>
    <mergeCell ref="A110:D110"/>
    <mergeCell ref="Q106:R106"/>
    <mergeCell ref="A106:D106"/>
    <mergeCell ref="Q108:R108"/>
    <mergeCell ref="A109:D109"/>
    <mergeCell ref="Q118:R118"/>
    <mergeCell ref="Q105:R105"/>
    <mergeCell ref="A105:D105"/>
    <mergeCell ref="A132:D132"/>
    <mergeCell ref="Q132:R132"/>
    <mergeCell ref="A122:D122"/>
    <mergeCell ref="Q122:R122"/>
    <mergeCell ref="A119:D119"/>
    <mergeCell ref="Q119:R119"/>
    <mergeCell ref="A120:D120"/>
    <mergeCell ref="Q120:R120"/>
    <mergeCell ref="A128:D128"/>
    <mergeCell ref="Q128:R128"/>
    <mergeCell ref="A123:D123"/>
    <mergeCell ref="Q123:R123"/>
    <mergeCell ref="A124:D124"/>
    <mergeCell ref="Q124:R124"/>
    <mergeCell ref="A125:R125"/>
    <mergeCell ref="A126:D127"/>
    <mergeCell ref="E126:P126"/>
    <mergeCell ref="Q126:R127"/>
    <mergeCell ref="A129:D129"/>
    <mergeCell ref="Q129:R129"/>
    <mergeCell ref="A135:D135"/>
    <mergeCell ref="Q135:R135"/>
    <mergeCell ref="A133:D133"/>
    <mergeCell ref="Q133:R133"/>
    <mergeCell ref="A134:D134"/>
    <mergeCell ref="Q134:R134"/>
    <mergeCell ref="A131:D131"/>
    <mergeCell ref="A136:R136"/>
    <mergeCell ref="A137:D138"/>
    <mergeCell ref="E137:P137"/>
    <mergeCell ref="Q137:R138"/>
    <mergeCell ref="A139:D139"/>
    <mergeCell ref="Q139:R139"/>
    <mergeCell ref="A140:D140"/>
    <mergeCell ref="Q140:R140"/>
    <mergeCell ref="A141:D141"/>
    <mergeCell ref="Q141:R141"/>
    <mergeCell ref="A142:D142"/>
    <mergeCell ref="Q142:R142"/>
    <mergeCell ref="A146:D146"/>
    <mergeCell ref="Q146:R146"/>
    <mergeCell ref="A143:D143"/>
    <mergeCell ref="Q143:R143"/>
    <mergeCell ref="A144:D144"/>
    <mergeCell ref="Q144:R144"/>
    <mergeCell ref="A145:D145"/>
    <mergeCell ref="Q145:R145"/>
    <mergeCell ref="A147:R147"/>
    <mergeCell ref="A148:D149"/>
    <mergeCell ref="E148:P148"/>
    <mergeCell ref="Q148:R149"/>
    <mergeCell ref="A152:D152"/>
    <mergeCell ref="Q152:R152"/>
    <mergeCell ref="A153:D153"/>
    <mergeCell ref="Q153:R153"/>
    <mergeCell ref="A150:D150"/>
    <mergeCell ref="Q150:R150"/>
    <mergeCell ref="A151:D151"/>
    <mergeCell ref="Q151:R151"/>
    <mergeCell ref="A158:D159"/>
    <mergeCell ref="E158:P158"/>
    <mergeCell ref="Q158:R159"/>
    <mergeCell ref="A160:D160"/>
    <mergeCell ref="Q160:R160"/>
    <mergeCell ref="A157:R157"/>
    <mergeCell ref="A154:D154"/>
    <mergeCell ref="Q154:R154"/>
    <mergeCell ref="A155:D155"/>
    <mergeCell ref="Q155:R155"/>
    <mergeCell ref="A156:D156"/>
    <mergeCell ref="Q156:R156"/>
    <mergeCell ref="A161:D161"/>
    <mergeCell ref="Q161:R161"/>
    <mergeCell ref="A162:D162"/>
    <mergeCell ref="Q162:R162"/>
    <mergeCell ref="A166:R166"/>
    <mergeCell ref="E167:P167"/>
    <mergeCell ref="A167:D168"/>
    <mergeCell ref="A163:D163"/>
    <mergeCell ref="Q163:R163"/>
    <mergeCell ref="A164:D164"/>
    <mergeCell ref="A172:D172"/>
    <mergeCell ref="Q172:R172"/>
    <mergeCell ref="A173:D173"/>
    <mergeCell ref="Q173:R173"/>
    <mergeCell ref="A171:D171"/>
    <mergeCell ref="Q171:R171"/>
    <mergeCell ref="Q167:R168"/>
    <mergeCell ref="Q169:R169"/>
    <mergeCell ref="A170:D170"/>
    <mergeCell ref="Q170:R170"/>
    <mergeCell ref="Q164:R164"/>
    <mergeCell ref="A165:D165"/>
    <mergeCell ref="Q165:R165"/>
    <mergeCell ref="A169:D16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Sintal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 Геннадьевна</cp:lastModifiedBy>
  <dcterms:created xsi:type="dcterms:W3CDTF">2018-11-14T03:28:56Z</dcterms:created>
  <dcterms:modified xsi:type="dcterms:W3CDTF">2020-08-13T11:37:54Z</dcterms:modified>
  <cp:category/>
  <cp:version/>
  <cp:contentType/>
  <cp:contentStatus/>
</cp:coreProperties>
</file>